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2760" windowWidth="18210" windowHeight="16440" firstSheet="1" activeTab="2"/>
  </bookViews>
  <sheets>
    <sheet name="list1" sheetId="1" state="hidden" r:id="rId1"/>
    <sheet name="Informace" sheetId="2" r:id="rId2"/>
    <sheet name="Objednávka" sheetId="3" r:id="rId3"/>
    <sheet name="zadani" sheetId="4" state="hidden" r:id="rId4"/>
  </sheets>
  <definedNames>
    <definedName name="cena_komplet">'zadani'!$A$307:$F$320</definedName>
    <definedName name="folie_komplet">'zadani'!$A$2:$C$168</definedName>
    <definedName name="folie_overeni">'zadani'!$I$2:$I$168</definedName>
    <definedName name="folie_vyber">'zadani'!$A$2:$A$168</definedName>
    <definedName name="_xlnm.Print_Area" localSheetId="1">'Informace'!$A$1:$AF$53</definedName>
    <definedName name="_xlnm.Print_Area" localSheetId="2">'Objednávka'!$A$1:$AN$57</definedName>
    <definedName name="_xlnm.Print_Area" localSheetId="3">'zadani'!$A$1:$Q$366</definedName>
    <definedName name="sklo_komplet">'zadani'!$A$239:$C$301</definedName>
    <definedName name="sklo_overeni">'zadani'!$K$2:$K$78</definedName>
    <definedName name="sklo_vyber">'zadani'!$A$239:$A$301</definedName>
    <definedName name="tvar_komplet">'zadani'!$A$182:$I$229</definedName>
    <definedName name="tvar_vyber">'zadani'!$A$182:$A$229</definedName>
    <definedName name="vencove_overeni">'zadani'!$M$2:$M$6</definedName>
    <definedName name="vencove_vyber">'zadani'!$A$232:$A$236</definedName>
    <definedName name="zadnistrana_vyber">'Objednávka'!$AZ$16:$AZ$17</definedName>
  </definedNames>
  <calcPr fullCalcOnLoad="1"/>
</workbook>
</file>

<file path=xl/comments1.xml><?xml version="1.0" encoding="utf-8"?>
<comments xmlns="http://schemas.openxmlformats.org/spreadsheetml/2006/main">
  <authors>
    <author>Michal Kopeck?</author>
  </authors>
  <commentList>
    <comment ref="AA9" authorId="0">
      <text>
        <r>
          <rPr>
            <b/>
            <sz val="9"/>
            <rFont val="Tahoma"/>
            <family val="2"/>
          </rPr>
          <t>pořadí hledá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  <author>michal kopecky</author>
  </authors>
  <commentList>
    <comment ref="K48" authorId="0">
      <text>
        <r>
          <rPr>
            <b/>
            <sz val="9"/>
            <color indexed="8"/>
            <rFont val="Tahoma"/>
            <family val="2"/>
          </rPr>
          <t>zadejte počet ks věncových lišt. 
Délka 2500 mm</t>
        </r>
      </text>
    </comment>
    <comment ref="BB9" authorId="1">
      <text>
        <r>
          <rPr>
            <b/>
            <sz val="9"/>
            <rFont val="Tahoma"/>
            <family val="2"/>
          </rPr>
          <t xml:space="preserve">tvar frézování T50J pohlídat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<sst xmlns="http://schemas.openxmlformats.org/spreadsheetml/2006/main" count="1592" uniqueCount="932">
  <si>
    <t>směry let</t>
  </si>
  <si>
    <t>Objednávkový formulář</t>
  </si>
  <si>
    <t>svislý</t>
  </si>
  <si>
    <t>vodorovný</t>
  </si>
  <si>
    <t>Zákazník:</t>
  </si>
  <si>
    <t>Objednávka číslo:</t>
  </si>
  <si>
    <t>vyhledá sklo</t>
  </si>
  <si>
    <t>Dodací adresa:</t>
  </si>
  <si>
    <t>zasklení</t>
  </si>
  <si>
    <t>Kontaktní osoba</t>
  </si>
  <si>
    <t>Datum objednání:</t>
  </si>
  <si>
    <t>těsnění</t>
  </si>
  <si>
    <t>Telefon:</t>
  </si>
  <si>
    <t>cena skla</t>
  </si>
  <si>
    <t>Poznámka:</t>
  </si>
  <si>
    <t>Vaše sleva v %</t>
  </si>
  <si>
    <t>věncová</t>
  </si>
  <si>
    <t>cena</t>
  </si>
  <si>
    <t>dekor zadní</t>
  </si>
  <si>
    <t>Zadejte základní specifikace pro celou objednávku:</t>
  </si>
  <si>
    <t>odpočet sklo</t>
  </si>
  <si>
    <t>Tvar frézování</t>
  </si>
  <si>
    <t>dekor fólie (číslo _ název)</t>
  </si>
  <si>
    <t>dekor zadní strany</t>
  </si>
  <si>
    <t>vyhledá dekor</t>
  </si>
  <si>
    <t>D01</t>
  </si>
  <si>
    <t>bílá</t>
  </si>
  <si>
    <t>vyhledá tvar</t>
  </si>
  <si>
    <t>vyhledá skupinu</t>
  </si>
  <si>
    <t>P.č.</t>
  </si>
  <si>
    <t>šířka                      (mm)</t>
  </si>
  <si>
    <t>výška                   (mm)</t>
  </si>
  <si>
    <t>Počet         (ks)</t>
  </si>
  <si>
    <t>typ dvířek                                    (plné/sklo/mříž)</t>
  </si>
  <si>
    <t>směr let</t>
  </si>
  <si>
    <t>plocha     (m2)</t>
  </si>
  <si>
    <t>cena dvířek</t>
  </si>
  <si>
    <t>cena těsnění</t>
  </si>
  <si>
    <t>cena zasklení</t>
  </si>
  <si>
    <t>šířka skla</t>
  </si>
  <si>
    <t>výška skla</t>
  </si>
  <si>
    <t>délka těsnění</t>
  </si>
  <si>
    <t>plné dveře</t>
  </si>
  <si>
    <t xml:space="preserve">Objednávka věncových lišt </t>
  </si>
  <si>
    <t>Celkem dvířek:</t>
  </si>
  <si>
    <t>suma</t>
  </si>
  <si>
    <t>Tvar věncové lišty</t>
  </si>
  <si>
    <t>Celkem plocha:</t>
  </si>
  <si>
    <t>VO cena</t>
  </si>
  <si>
    <t>MO cena</t>
  </si>
  <si>
    <t>Cena dvířek bez DPH</t>
  </si>
  <si>
    <t>cena lišt</t>
  </si>
  <si>
    <t>A</t>
  </si>
  <si>
    <t>Cena věncových lišt bez DPH</t>
  </si>
  <si>
    <t>Cena těsnění bez DPH</t>
  </si>
  <si>
    <t>Dekor fólie:</t>
  </si>
  <si>
    <t>Cena skla bez DPH</t>
  </si>
  <si>
    <t>Délka:</t>
  </si>
  <si>
    <t>2500 mm</t>
  </si>
  <si>
    <t>Cena za zasklení</t>
  </si>
  <si>
    <t>Cena celkem bez DPH</t>
  </si>
  <si>
    <t>Cena celkem včetně DPH</t>
  </si>
  <si>
    <t>Podpis a razítko objednatele</t>
  </si>
  <si>
    <t>Fólie</t>
  </si>
  <si>
    <t>skupina</t>
  </si>
  <si>
    <t>zadní strany</t>
  </si>
  <si>
    <t>Fólie pro výběr - dynamická</t>
  </si>
  <si>
    <t>typ dvířek / výplň dynamická</t>
  </si>
  <si>
    <t>tvar věncové lišty / výplň dynamická</t>
  </si>
  <si>
    <t xml:space="preserve">                      standartní fólie skupina 1</t>
  </si>
  <si>
    <t>věncovky do</t>
  </si>
  <si>
    <t>10056 Bílá perlička</t>
  </si>
  <si>
    <t>10083 Cafe latte</t>
  </si>
  <si>
    <t>22DB52 Dub mléčný</t>
  </si>
  <si>
    <t>dv4120 Sytě béžová</t>
  </si>
  <si>
    <t>dv9859 Jasmín</t>
  </si>
  <si>
    <t xml:space="preserve">                      výběrové fólie skupina 2</t>
  </si>
  <si>
    <t>3237001 Švestka světlá</t>
  </si>
  <si>
    <t>4224170 Trnka</t>
  </si>
  <si>
    <t>4242422 Avola krémově bílá</t>
  </si>
  <si>
    <t>4242425 Avola champagne</t>
  </si>
  <si>
    <t>dv2455 Dub lanýžový</t>
  </si>
  <si>
    <t>dv2419 Dub kovově šedý</t>
  </si>
  <si>
    <t>dv0203 Calvados indiana</t>
  </si>
  <si>
    <t>dv01R9 Dub mersey</t>
  </si>
  <si>
    <t>dv05R5 Bílá borovice</t>
  </si>
  <si>
    <t>dv6T3M Dub mirain</t>
  </si>
  <si>
    <t>dv14T3 Dub chamonix</t>
  </si>
  <si>
    <t xml:space="preserve">                      výběrové fólie skupina 3</t>
  </si>
  <si>
    <t>03DB16 Dub tmavý</t>
  </si>
  <si>
    <t>22BR Bříza</t>
  </si>
  <si>
    <t>27DB Dub winchester</t>
  </si>
  <si>
    <t>4242417 Avola šedá</t>
  </si>
  <si>
    <t xml:space="preserve">                      výběrové fólie pololesk sk. 3</t>
  </si>
  <si>
    <t>4221005 Sylvaine bílý pololesk</t>
  </si>
  <si>
    <t>4221009 Sylvaine černý pololesk</t>
  </si>
  <si>
    <t>1482 Bílá vysoký lesk PVC</t>
  </si>
  <si>
    <t>133A Béžová vysoký lesk</t>
  </si>
  <si>
    <t>138A Červená vysoký lesk</t>
  </si>
  <si>
    <t>3120 Bordó vysoký lesk</t>
  </si>
  <si>
    <t>7079001 Jasmín vysoký lesk</t>
  </si>
  <si>
    <t>9700 Bílá vysoký lesk PET</t>
  </si>
  <si>
    <t>20SV Švestka vysoký lesk</t>
  </si>
  <si>
    <t>20ZE Zebráno vysoký lesk</t>
  </si>
  <si>
    <t>2800 Černá vysoký lesk PET</t>
  </si>
  <si>
    <t>2801 Moka vysoký lesk PET</t>
  </si>
  <si>
    <t>4200 Ferrari vysoký lesk PET</t>
  </si>
  <si>
    <t>Fólie vysoký</t>
  </si>
  <si>
    <t>Fólie pololesk</t>
  </si>
  <si>
    <t>Fólie matná</t>
  </si>
  <si>
    <t>Dvířka plná</t>
  </si>
  <si>
    <t>Rám pro sklo</t>
  </si>
  <si>
    <t>Mřížka</t>
  </si>
  <si>
    <t>odpočet</t>
  </si>
  <si>
    <t>tvary</t>
  </si>
  <si>
    <t>lesk</t>
  </si>
  <si>
    <t>sklo</t>
  </si>
  <si>
    <t>X</t>
  </si>
  <si>
    <t>D02</t>
  </si>
  <si>
    <t>D03</t>
  </si>
  <si>
    <t>D04</t>
  </si>
  <si>
    <t>D05</t>
  </si>
  <si>
    <t>D06</t>
  </si>
  <si>
    <t>D07-R1</t>
  </si>
  <si>
    <t>D07-R2</t>
  </si>
  <si>
    <t>D07-R3</t>
  </si>
  <si>
    <t>D07-R5</t>
  </si>
  <si>
    <t>D07-R8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</si>
  <si>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</si>
  <si>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</si>
  <si>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</si>
  <si>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</si>
  <si>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</si>
  <si>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</si>
  <si>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</si>
  <si>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</si>
  <si>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</si>
  <si>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</si>
  <si>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pozor, rozmezí 50-74 mm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</si>
  <si>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</si>
  <si>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</si>
  <si>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</si>
  <si>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</si>
  <si>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</si>
  <si>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</si>
  <si>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</si>
  <si>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</si>
  <si>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</si>
  <si>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</si>
  <si>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</si>
  <si>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</si>
  <si>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</si>
  <si>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</si>
  <si>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</si>
  <si>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</si>
  <si>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</si>
  <si>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</si>
  <si>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</si>
  <si>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</si>
  <si>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UKS7</t>
  </si>
  <si>
    <t>není známo</t>
  </si>
  <si>
    <t>UKS5</t>
  </si>
  <si>
    <t>Věncové lišty</t>
  </si>
  <si>
    <t>B</t>
  </si>
  <si>
    <t>C</t>
  </si>
  <si>
    <t>D</t>
  </si>
  <si>
    <t>E</t>
  </si>
  <si>
    <t>typy</t>
  </si>
  <si>
    <t>rám pro sklo bez zasklení</t>
  </si>
  <si>
    <t>Práce - zasklení</t>
  </si>
  <si>
    <t>Cena těsnění/m</t>
  </si>
  <si>
    <t xml:space="preserve">                      Zasklení těmito skly:</t>
  </si>
  <si>
    <t xml:space="preserve">                      Čirá skla</t>
  </si>
  <si>
    <t>Float extra čirý - DIAMANT</t>
  </si>
  <si>
    <t>Planibel bronz</t>
  </si>
  <si>
    <t>Planibel šedý</t>
  </si>
  <si>
    <t>Lakomat bílý</t>
  </si>
  <si>
    <t>Satináto bílé</t>
  </si>
  <si>
    <t xml:space="preserve">                      Ornamentní skla</t>
  </si>
  <si>
    <t>Crepi</t>
  </si>
  <si>
    <t>Činčila čirá</t>
  </si>
  <si>
    <t>Flutes  čirý</t>
  </si>
  <si>
    <t>Kathedral klein</t>
  </si>
  <si>
    <t>Krizet</t>
  </si>
  <si>
    <t>Kůra čirá</t>
  </si>
  <si>
    <t>Masterligne</t>
  </si>
  <si>
    <t>Masterpoint</t>
  </si>
  <si>
    <t>Mastercarre</t>
  </si>
  <si>
    <t>Pavé bílé</t>
  </si>
  <si>
    <t>Thela čirá</t>
  </si>
  <si>
    <t xml:space="preserve">                      Zrcadla</t>
  </si>
  <si>
    <t>Zrcadlo</t>
  </si>
  <si>
    <t>Zrcadlo bronz</t>
  </si>
  <si>
    <t xml:space="preserve">                      Lacobel</t>
  </si>
  <si>
    <t>Lacobel bílý 9010</t>
  </si>
  <si>
    <t>Lacobel ciste bílý 9003</t>
  </si>
  <si>
    <t>Lacobel béžový 1015</t>
  </si>
  <si>
    <t>Lacobel béžový 1014</t>
  </si>
  <si>
    <t>Lacobel béžový 1013</t>
  </si>
  <si>
    <t>Lacobel modrý 1603</t>
  </si>
  <si>
    <t>Lacobel zelený 1164</t>
  </si>
  <si>
    <t>Lacobel zelený 1604</t>
  </si>
  <si>
    <t>Lacobel bordeaux 3004</t>
  </si>
  <si>
    <t>Lacobel cervený 1586</t>
  </si>
  <si>
    <t>Lacobel oranžový 2001</t>
  </si>
  <si>
    <t>Lacobel hnedý 1236</t>
  </si>
  <si>
    <t>Lacobel 4006 fuchsie</t>
  </si>
  <si>
    <t>Lacobel modrý Luminous 5002</t>
  </si>
  <si>
    <t>Lacobel cerný 9005</t>
  </si>
  <si>
    <t xml:space="preserve">                      Matelac</t>
  </si>
  <si>
    <t>Matelac RAL 9003 sněhově bílá</t>
  </si>
  <si>
    <t>Matelac RAL 2001 oranžová</t>
  </si>
  <si>
    <t>Matelac RAL 9005 černá</t>
  </si>
  <si>
    <t xml:space="preserve">                      Designová skla na objednávku</t>
  </si>
  <si>
    <t>čiré sklo lakováné RAL či NCS</t>
  </si>
  <si>
    <t>extračiré lakováné RAL či NCS</t>
  </si>
  <si>
    <t>Bezpečnost</t>
  </si>
  <si>
    <t>MJ</t>
  </si>
  <si>
    <t>nalepení ochranné fólie</t>
  </si>
  <si>
    <t>m2</t>
  </si>
  <si>
    <t>kategorie</t>
  </si>
  <si>
    <t>rampa</t>
  </si>
  <si>
    <t xml:space="preserve">V naší nabídce dvířek ALFA naleznete 60 druhů fólií , které jsou rozděleny do šesti  </t>
  </si>
  <si>
    <t>cenových</t>
  </si>
  <si>
    <t>Dekory zad:</t>
  </si>
  <si>
    <t>MDF 18mm</t>
  </si>
  <si>
    <t>Kč</t>
  </si>
  <si>
    <t>Standartní fólie</t>
  </si>
  <si>
    <t>Výběrová fólie</t>
  </si>
  <si>
    <t>havanna</t>
  </si>
  <si>
    <t>Dvířka je možno dodat i v MDF 16mm , cena zůstává stejná jako u MDF 18mm.</t>
  </si>
  <si>
    <t>MDF 16mm není možno vyrobit ve vysokém lesku.</t>
  </si>
  <si>
    <t>Minimální rozměr pro vnitřní frézování zásuvek je 155mm.</t>
  </si>
  <si>
    <t>Minimální rozměr prosklených dvířek je 296mm x 296mm.</t>
  </si>
  <si>
    <t>Při objednání tvaru dvířka s úchytkou,je nutné dodat spolu s objednávkou také přílohu ve které</t>
  </si>
  <si>
    <t>bude umístění  úchytek specifikované a znázorněné.</t>
  </si>
  <si>
    <t>ve které bude tento požadavek zřetelně specifikovaný a znázorněný.</t>
  </si>
  <si>
    <t xml:space="preserve">Pokud nebude na objednávce vyznačen směr let, automaticky dveře vyrobíme s léty svisle. </t>
  </si>
  <si>
    <t>na fólii obráceně.</t>
  </si>
  <si>
    <t>Základní technické informace</t>
  </si>
  <si>
    <t>Dvířka ALFA jsou klasicky nabízeny v tlouštce MDF 18mm.</t>
  </si>
  <si>
    <t>Fóliovaná MDF dvířka ALFA</t>
  </si>
  <si>
    <t>KVALITNÍ ČESKÁ VÝROBA</t>
  </si>
  <si>
    <t>ZÁRUKA 5 LET! NĚMECKÉ CERTIFIKÁTY KVALITY.</t>
  </si>
  <si>
    <t>Úchytky-cena včetně zafrézování</t>
  </si>
  <si>
    <t>Tvar</t>
  </si>
  <si>
    <t>Cena bez DPH</t>
  </si>
  <si>
    <t>Povrch</t>
  </si>
  <si>
    <t>chrom mat</t>
  </si>
  <si>
    <t>chrom lesk</t>
  </si>
  <si>
    <t>alu</t>
  </si>
  <si>
    <t>UKS 5</t>
  </si>
  <si>
    <t>dle rozměru</t>
  </si>
  <si>
    <t>Alu / Inox (nerez)</t>
  </si>
  <si>
    <t>UKS 7</t>
  </si>
  <si>
    <t>Ceny jsou bez DPH za 1ks.</t>
  </si>
  <si>
    <t>Slevy dle zákazníka.</t>
  </si>
  <si>
    <t>ceny úchytek</t>
  </si>
  <si>
    <t>MO ceny fólií ALFA dle skupin:</t>
  </si>
  <si>
    <t>OBJEDNÁVKA</t>
  </si>
  <si>
    <t>Jméno:</t>
  </si>
  <si>
    <t>IČO:</t>
  </si>
  <si>
    <t>Číslo objednávky:</t>
  </si>
  <si>
    <t>Datum expedice:</t>
  </si>
  <si>
    <t>Typ frézování:</t>
  </si>
  <si>
    <t>Folie číslo:</t>
  </si>
  <si>
    <t>Barva zadní strany:</t>
  </si>
  <si>
    <t>Folie název:</t>
  </si>
  <si>
    <t>Výška</t>
  </si>
  <si>
    <t>Šířka</t>
  </si>
  <si>
    <t>Plné dveře/ks</t>
  </si>
  <si>
    <t>Rám pro sklo/ks</t>
  </si>
  <si>
    <t>Mříž</t>
  </si>
  <si>
    <t>zasklívací těsnění</t>
  </si>
  <si>
    <t>Léta  vod./svis.</t>
  </si>
  <si>
    <t>Poz. úch</t>
  </si>
  <si>
    <t>Zásuv. frézování</t>
  </si>
  <si>
    <t>Poznámka</t>
  </si>
  <si>
    <t>Celkem :</t>
  </si>
  <si>
    <t>Rampa:</t>
  </si>
  <si>
    <t>Římsa:</t>
  </si>
  <si>
    <t>ks</t>
  </si>
  <si>
    <t>KopeckýCZ, s.r.o.</t>
  </si>
  <si>
    <t>Sylvaine bílý pololesk</t>
  </si>
  <si>
    <t>Sylvaine černý pololesk</t>
  </si>
  <si>
    <t>dv4124</t>
  </si>
  <si>
    <t>dv2401</t>
  </si>
  <si>
    <t>dv3124</t>
  </si>
  <si>
    <t>dv2448</t>
  </si>
  <si>
    <t>dv2455</t>
  </si>
  <si>
    <t>20WE00</t>
  </si>
  <si>
    <t>20OL03</t>
  </si>
  <si>
    <t>22TR13</t>
  </si>
  <si>
    <t>20DB50</t>
  </si>
  <si>
    <t>Ferrari vysoký lesk PET</t>
  </si>
  <si>
    <t>dv4120</t>
  </si>
  <si>
    <t>dv01R9</t>
  </si>
  <si>
    <t>dv9859</t>
  </si>
  <si>
    <t>dv2064</t>
  </si>
  <si>
    <t>dv0224</t>
  </si>
  <si>
    <t>dv6T3M</t>
  </si>
  <si>
    <t>dv03R9</t>
  </si>
  <si>
    <t>dv02R9</t>
  </si>
  <si>
    <t>dv14T3</t>
  </si>
  <si>
    <t>dv0203</t>
  </si>
  <si>
    <t>dv0124</t>
  </si>
  <si>
    <t>dv1124</t>
  </si>
  <si>
    <t>dv2124</t>
  </si>
  <si>
    <t>dv1064</t>
  </si>
  <si>
    <t>dv6124</t>
  </si>
  <si>
    <t>dv7124</t>
  </si>
  <si>
    <t>03DB16</t>
  </si>
  <si>
    <t>22DB52</t>
  </si>
  <si>
    <t>dv1024</t>
  </si>
  <si>
    <t>Dvirka</t>
  </si>
  <si>
    <t>kod</t>
  </si>
  <si>
    <t>Kopecký</t>
  </si>
  <si>
    <t>bříza 1715</t>
  </si>
  <si>
    <t>buk 876</t>
  </si>
  <si>
    <t>černá 190</t>
  </si>
  <si>
    <t>dub 757</t>
  </si>
  <si>
    <t>olše 685</t>
  </si>
  <si>
    <t>ořech 8953</t>
  </si>
  <si>
    <t>švestka 7935</t>
  </si>
  <si>
    <t>třešeň 1792</t>
  </si>
  <si>
    <t>wenge 854</t>
  </si>
  <si>
    <t>zebráno 531</t>
  </si>
  <si>
    <t>dv0024</t>
  </si>
  <si>
    <t>UKS10</t>
  </si>
  <si>
    <t>UKS10 typ F</t>
  </si>
  <si>
    <t>UKS11</t>
  </si>
  <si>
    <t>UKS11 typ F</t>
  </si>
  <si>
    <t>Hluboký mat</t>
  </si>
  <si>
    <t>4221005 sylvaine bílý, 4221009 sylvaine černý, 30011 limone, kde je od výrobce kresba let</t>
  </si>
  <si>
    <t>11015 Vanilka</t>
  </si>
  <si>
    <t xml:space="preserve">9273 Sněhově bílá              </t>
  </si>
  <si>
    <t>dv0124 Bílý fládr</t>
  </si>
  <si>
    <t>dv0224 Bílá koženka</t>
  </si>
  <si>
    <t>dv2124 Třešeň americká</t>
  </si>
  <si>
    <t>dv1124 Buk přírodní</t>
  </si>
  <si>
    <t>dv0024 Javor světlý</t>
  </si>
  <si>
    <t>dv4220 Písková</t>
  </si>
  <si>
    <t>dv1064 Béžová</t>
  </si>
  <si>
    <t>dv2064 Krémová</t>
  </si>
  <si>
    <t>dv0594 Vínová perlička</t>
  </si>
  <si>
    <t>dv0063 Černá perlička</t>
  </si>
  <si>
    <t>dv4209 Kiwi</t>
  </si>
  <si>
    <t>ns dv0337 Žlutá</t>
  </si>
  <si>
    <t>ns dv0512 Limetka</t>
  </si>
  <si>
    <t>ns dv0514 Pistácie</t>
  </si>
  <si>
    <t>ns dv0729 Pomeranč</t>
  </si>
  <si>
    <t>ns dv3765 Mandarinka</t>
  </si>
  <si>
    <t>ns dv6569 Vínová</t>
  </si>
  <si>
    <t>ns dv7322 Černá hladká</t>
  </si>
  <si>
    <t>20DB50 Dub bělěný</t>
  </si>
  <si>
    <t>20WE00 Wenge mat</t>
  </si>
  <si>
    <t>22TR13 Třešeň</t>
  </si>
  <si>
    <t>dv6124 Třešeň tmavá</t>
  </si>
  <si>
    <t>dv2401 Akát</t>
  </si>
  <si>
    <t>dv2448 Dub světlý</t>
  </si>
  <si>
    <t>dv02R9 Dub tmavý jantarový</t>
  </si>
  <si>
    <t>dv03R9 Dub světlý jantarový</t>
  </si>
  <si>
    <t>20BK Buk světlý</t>
  </si>
  <si>
    <t>dv0963 Dub šedivý</t>
  </si>
  <si>
    <t>dv4143 Dub hnědý</t>
  </si>
  <si>
    <t>dv2143 Wenge hnědé</t>
  </si>
  <si>
    <t>dv2085 Wenge africké</t>
  </si>
  <si>
    <t>dv2121 Buk růžový</t>
  </si>
  <si>
    <t>dv7124  Ořech tmavý</t>
  </si>
  <si>
    <t>30000 Melinga bílá</t>
  </si>
  <si>
    <t xml:space="preserve">0051 Calvados                       </t>
  </si>
  <si>
    <t>dv7361 Stone grey</t>
  </si>
  <si>
    <t>dv2017 Dub normandský</t>
  </si>
  <si>
    <t>dv5842 Dub alabastr</t>
  </si>
  <si>
    <t>dv1024 Divoká hruška</t>
  </si>
  <si>
    <t>20OL03 Olše</t>
  </si>
  <si>
    <t>dv8024 Bříza horská</t>
  </si>
  <si>
    <t>ns dv0301 Dub mokka</t>
  </si>
  <si>
    <t>ns dv1015 Pinie světlá</t>
  </si>
  <si>
    <t>ns dv2085 Wenge tmavá</t>
  </si>
  <si>
    <t>ns dv3902 Dub sonoma</t>
  </si>
  <si>
    <t>ns dv7393 Kašmír mat</t>
  </si>
  <si>
    <t>ns dv7394 Grafit mat</t>
  </si>
  <si>
    <t>ns dv0302 Dub antik</t>
  </si>
  <si>
    <t>ns dv0401 Dub windy</t>
  </si>
  <si>
    <t>ns dv0459 Dub barikovaný</t>
  </si>
  <si>
    <t>4210006 Ořech dijon limousin mat</t>
  </si>
  <si>
    <t>27TR Třešeň morgana</t>
  </si>
  <si>
    <t>27OR Ořech tiepolo</t>
  </si>
  <si>
    <t>21PA Palisandr</t>
  </si>
  <si>
    <t>30011 Limone</t>
  </si>
  <si>
    <t>23MO Modřín</t>
  </si>
  <si>
    <t>dv0256 Dub cantry</t>
  </si>
  <si>
    <t>dv0002 Wenge pór</t>
  </si>
  <si>
    <t>ns dv1019 Wenge zlaté</t>
  </si>
  <si>
    <t>ns dv0434 Dub santana</t>
  </si>
  <si>
    <t>ns dv1723 Dub šedý</t>
  </si>
  <si>
    <t>ns dv0440 Granit</t>
  </si>
  <si>
    <t>ns dv0441 Břidlice</t>
  </si>
  <si>
    <t>dv5103  Bílá hluboký mat</t>
  </si>
  <si>
    <t>dv5203  Jasmín hluboký mat</t>
  </si>
  <si>
    <t>dv5303  Vanilka hluboký mat</t>
  </si>
  <si>
    <t>dv5403 Latte hluboký mat</t>
  </si>
  <si>
    <t>dv5503 Šedá hluboký mat</t>
  </si>
  <si>
    <t>dv0035 Vanilla lesk</t>
  </si>
  <si>
    <t>6400 Capuccino vys.lesk PET</t>
  </si>
  <si>
    <t>dv4124 Buk tabák</t>
  </si>
  <si>
    <t xml:space="preserve">dv3124 Třešeň světlá </t>
  </si>
  <si>
    <t>naražení a frézování úchytky</t>
  </si>
  <si>
    <t>frézování úchytek</t>
  </si>
  <si>
    <t>začátek úchytek řádek</t>
  </si>
  <si>
    <t>Float</t>
  </si>
  <si>
    <t>aktualizace skel do ceníku</t>
  </si>
  <si>
    <t>verze 1.8</t>
  </si>
  <si>
    <t>věncová lišta A-C</t>
  </si>
  <si>
    <t>věncová lišta D-E</t>
  </si>
  <si>
    <t xml:space="preserve">                      surová MDF bez fólie</t>
  </si>
  <si>
    <t>jednostranně laminovaná MDF tl. 18 mm</t>
  </si>
  <si>
    <t>oboustranně laminovaná MDF tl. 18 mm</t>
  </si>
  <si>
    <t>sloupec cen</t>
  </si>
  <si>
    <t>surová MDF ceny</t>
  </si>
  <si>
    <t>surová MDF ano/ne</t>
  </si>
  <si>
    <t>verze 1.9</t>
  </si>
  <si>
    <t>aktualizace cen</t>
  </si>
  <si>
    <t>přidána surová MDF</t>
  </si>
  <si>
    <t>nová cenová skupina na PVC</t>
  </si>
  <si>
    <t>aktuální</t>
  </si>
  <si>
    <t>upravit list výroba přepis názvů fólií - zaslat seznam</t>
  </si>
  <si>
    <t>věncová skupina</t>
  </si>
  <si>
    <t>věncové lišty 2 cenové kategorie</t>
  </si>
  <si>
    <t>kód</t>
  </si>
  <si>
    <t>Název</t>
  </si>
  <si>
    <t>Bílá perlička</t>
  </si>
  <si>
    <t>Cafe latte</t>
  </si>
  <si>
    <t>Vanilka</t>
  </si>
  <si>
    <t xml:space="preserve">Sněhově bílá              </t>
  </si>
  <si>
    <t>Dub mléčný</t>
  </si>
  <si>
    <t>Sytě béžová</t>
  </si>
  <si>
    <t>Bílý fládr</t>
  </si>
  <si>
    <t>Bílá koženka</t>
  </si>
  <si>
    <t>Třešeň americká</t>
  </si>
  <si>
    <t>Buk přírodní</t>
  </si>
  <si>
    <t>Javor světlý</t>
  </si>
  <si>
    <t>dv4220</t>
  </si>
  <si>
    <t>Písková</t>
  </si>
  <si>
    <t>Béžová</t>
  </si>
  <si>
    <t>Krémová</t>
  </si>
  <si>
    <t>Jasmín</t>
  </si>
  <si>
    <t>dv0594</t>
  </si>
  <si>
    <t>Vínová perlička</t>
  </si>
  <si>
    <t>dv0063</t>
  </si>
  <si>
    <t>Černá perlička</t>
  </si>
  <si>
    <t>dv4209</t>
  </si>
  <si>
    <t>Kiwi</t>
  </si>
  <si>
    <t>ns dv0337</t>
  </si>
  <si>
    <t>Žlutá</t>
  </si>
  <si>
    <t>ns dv0512</t>
  </si>
  <si>
    <t>Limetka</t>
  </si>
  <si>
    <t>ns dv0514</t>
  </si>
  <si>
    <t>Pistácie</t>
  </si>
  <si>
    <t>ns dv0729</t>
  </si>
  <si>
    <t>Pomeranč</t>
  </si>
  <si>
    <t>ns dv3765</t>
  </si>
  <si>
    <t>Mandarinka</t>
  </si>
  <si>
    <t>ns dv6569</t>
  </si>
  <si>
    <t>Vínová</t>
  </si>
  <si>
    <t>ns dv7322</t>
  </si>
  <si>
    <t>Černá hladká</t>
  </si>
  <si>
    <t>Dub bělěný</t>
  </si>
  <si>
    <t>Wenge mat</t>
  </si>
  <si>
    <t>Třešeň</t>
  </si>
  <si>
    <t>Třešeň tmavá</t>
  </si>
  <si>
    <t>Akát</t>
  </si>
  <si>
    <t>Dub světlý</t>
  </si>
  <si>
    <t xml:space="preserve">Třešeň světlá </t>
  </si>
  <si>
    <t>Dub tmavý jantarový</t>
  </si>
  <si>
    <t>Trnka</t>
  </si>
  <si>
    <t>Avola krémově bílá</t>
  </si>
  <si>
    <t>Avola champagne</t>
  </si>
  <si>
    <t>Dub lanýžový</t>
  </si>
  <si>
    <t>dv2419</t>
  </si>
  <si>
    <t>Dub kovově šedý</t>
  </si>
  <si>
    <t>Calvados indiana</t>
  </si>
  <si>
    <t>Dub světlý jantarový</t>
  </si>
  <si>
    <t xml:space="preserve">20BK </t>
  </si>
  <si>
    <t>Buk světlý</t>
  </si>
  <si>
    <t>Dub mersey</t>
  </si>
  <si>
    <t>dv0963</t>
  </si>
  <si>
    <t>Dub šedivý</t>
  </si>
  <si>
    <t>dv4143</t>
  </si>
  <si>
    <t>Dub hnědý</t>
  </si>
  <si>
    <t>dv2143</t>
  </si>
  <si>
    <t>Wenge hnědé</t>
  </si>
  <si>
    <t>dv2085</t>
  </si>
  <si>
    <t>Wenge africké</t>
  </si>
  <si>
    <t>dv2121</t>
  </si>
  <si>
    <t>Buk růžový</t>
  </si>
  <si>
    <t>Ořech tmavý</t>
  </si>
  <si>
    <t xml:space="preserve">30000 </t>
  </si>
  <si>
    <t>Melinga bílá</t>
  </si>
  <si>
    <t>OO51</t>
  </si>
  <si>
    <t xml:space="preserve">Calvados                       </t>
  </si>
  <si>
    <t>dv05R5</t>
  </si>
  <si>
    <t>Bílá borovice</t>
  </si>
  <si>
    <t>Dub mirain</t>
  </si>
  <si>
    <t>Dub chamonix</t>
  </si>
  <si>
    <t>Buk tabák</t>
  </si>
  <si>
    <t>Švestka světlá</t>
  </si>
  <si>
    <t>dv7361</t>
  </si>
  <si>
    <t>Stone grey</t>
  </si>
  <si>
    <t>dv2017</t>
  </si>
  <si>
    <t>Dub normandský</t>
  </si>
  <si>
    <t>dv5842</t>
  </si>
  <si>
    <t>Dub alabastr</t>
  </si>
  <si>
    <t>Divoká hruška</t>
  </si>
  <si>
    <t>Olše</t>
  </si>
  <si>
    <t>dv8024</t>
  </si>
  <si>
    <t>Bříza horská</t>
  </si>
  <si>
    <t>ns dv0301</t>
  </si>
  <si>
    <t>Dub mokka</t>
  </si>
  <si>
    <t>ns dv1015</t>
  </si>
  <si>
    <t>Pinie světlá</t>
  </si>
  <si>
    <t>ns dv2085</t>
  </si>
  <si>
    <t>Wenge tmavá</t>
  </si>
  <si>
    <t>ns dv3902</t>
  </si>
  <si>
    <t>Dub sonoma</t>
  </si>
  <si>
    <t>ns dv7393</t>
  </si>
  <si>
    <t>Kašmír mat</t>
  </si>
  <si>
    <t>ns dv7394</t>
  </si>
  <si>
    <t>Grafit mat</t>
  </si>
  <si>
    <t>ns dv0302</t>
  </si>
  <si>
    <t>Dub antik</t>
  </si>
  <si>
    <t>ns dv0401</t>
  </si>
  <si>
    <t>Dub windy</t>
  </si>
  <si>
    <t>ns dv0459</t>
  </si>
  <si>
    <t>Dub barikovaný</t>
  </si>
  <si>
    <t>Ořech dijon limousin mat</t>
  </si>
  <si>
    <t>Avola šedá</t>
  </si>
  <si>
    <t xml:space="preserve">22BR </t>
  </si>
  <si>
    <t>Bříza</t>
  </si>
  <si>
    <t xml:space="preserve">27TR </t>
  </si>
  <si>
    <t>Třešeň morgana</t>
  </si>
  <si>
    <t xml:space="preserve">27DB </t>
  </si>
  <si>
    <t>Dub winchester</t>
  </si>
  <si>
    <t xml:space="preserve">27OR </t>
  </si>
  <si>
    <t>Ořech tiepolo</t>
  </si>
  <si>
    <t>Dub tmavý</t>
  </si>
  <si>
    <t xml:space="preserve">21PA </t>
  </si>
  <si>
    <t>Palisandr</t>
  </si>
  <si>
    <t xml:space="preserve">30011 </t>
  </si>
  <si>
    <t>Limone</t>
  </si>
  <si>
    <t xml:space="preserve">23MO </t>
  </si>
  <si>
    <t>Modřín</t>
  </si>
  <si>
    <t>dv0256</t>
  </si>
  <si>
    <t>Dub cantry</t>
  </si>
  <si>
    <t>dv0002</t>
  </si>
  <si>
    <t>Wenge pór</t>
  </si>
  <si>
    <t>ns dv1019</t>
  </si>
  <si>
    <t>Wenge zlaté</t>
  </si>
  <si>
    <t>ns dv0434</t>
  </si>
  <si>
    <t>Dub santana</t>
  </si>
  <si>
    <t>ns dv1723</t>
  </si>
  <si>
    <t>Dub šedý</t>
  </si>
  <si>
    <t>ns dv0440</t>
  </si>
  <si>
    <t>Granit</t>
  </si>
  <si>
    <t>ns dv0441</t>
  </si>
  <si>
    <t>Břidlice</t>
  </si>
  <si>
    <t>dv5103</t>
  </si>
  <si>
    <t>Bílá hluboký mat</t>
  </si>
  <si>
    <t>dv5203</t>
  </si>
  <si>
    <t>Jasmín hluboký mat</t>
  </si>
  <si>
    <t>dv5303</t>
  </si>
  <si>
    <t>Vanilka hluboký mat</t>
  </si>
  <si>
    <t>dv5403</t>
  </si>
  <si>
    <t>Latte hluboký mat</t>
  </si>
  <si>
    <t>dv5503</t>
  </si>
  <si>
    <t>Šedá hluboký mat</t>
  </si>
  <si>
    <t>Bílá vysoký lesk PET</t>
  </si>
  <si>
    <t>Bílá vysoký lesk PVC</t>
  </si>
  <si>
    <t>dv0035</t>
  </si>
  <si>
    <t>Vanilla lesk</t>
  </si>
  <si>
    <t>Jasmín vysoký lesk</t>
  </si>
  <si>
    <t>Bordó vysoký lesk</t>
  </si>
  <si>
    <t xml:space="preserve">20SV </t>
  </si>
  <si>
    <t>Švestka vysoký lesk</t>
  </si>
  <si>
    <t xml:space="preserve">20ZE </t>
  </si>
  <si>
    <t>Zebráno vysoký lesk</t>
  </si>
  <si>
    <t xml:space="preserve">133A </t>
  </si>
  <si>
    <t>Béžová vysoký lesk</t>
  </si>
  <si>
    <t>Moka vysoký lesk PET</t>
  </si>
  <si>
    <t xml:space="preserve">138A </t>
  </si>
  <si>
    <t>Červená vysoký lesk</t>
  </si>
  <si>
    <t>Capuccino vys.lesk PET</t>
  </si>
  <si>
    <t>Černá vysoký lesk PET</t>
  </si>
  <si>
    <t xml:space="preserve">jednostranně laminovaná </t>
  </si>
  <si>
    <t>MDF tl. 18 mm</t>
  </si>
  <si>
    <t xml:space="preserve">oboustranně laminovaná </t>
  </si>
  <si>
    <t>verze 1.91</t>
  </si>
  <si>
    <t>min. plocha skla stanovena na 0,25m2</t>
  </si>
  <si>
    <t>min. plocha skla</t>
  </si>
  <si>
    <t>plocha skla</t>
  </si>
  <si>
    <t>Minimální účtovatelná plocha skla je 0,25 m2.</t>
  </si>
  <si>
    <t>verze 1.92</t>
  </si>
  <si>
    <t>oprava označení folie černá a vínová perlička prohozeno</t>
  </si>
  <si>
    <t>Vysoký lesk výběr</t>
  </si>
  <si>
    <t>Vysoký lesk PET</t>
  </si>
  <si>
    <r>
      <t xml:space="preserve">, </t>
    </r>
    <r>
      <rPr>
        <sz val="10"/>
        <rFont val="Arial"/>
        <family val="2"/>
      </rPr>
      <t>ořech, dub sonoma, bříza, černá.</t>
    </r>
  </si>
  <si>
    <t xml:space="preserve">zebráno, wenge, buk bavaria, calvados, olše, </t>
  </si>
  <si>
    <t xml:space="preserve">Fólie: 11015 Vanilka, 10056 Bílá perlička, 10083 Caffe latte, a 27TR Třešeň morgana </t>
  </si>
  <si>
    <t>nelze použít na tyto tvary:</t>
  </si>
  <si>
    <t xml:space="preserve">D06, D20, D25, D36, D05, D15, D16, D27, D29, D30, D31, D04, D11, D18, D26, D33, D34, D08, </t>
  </si>
  <si>
    <t>D17, D23, D24, D32!</t>
  </si>
  <si>
    <t>kategorií.</t>
  </si>
  <si>
    <r>
      <t xml:space="preserve">U tvaru </t>
    </r>
    <r>
      <rPr>
        <b/>
        <sz val="10"/>
        <rFont val="Arial"/>
        <family val="2"/>
      </rPr>
      <t>D14</t>
    </r>
    <r>
      <rPr>
        <sz val="10"/>
        <rFont val="Arial"/>
        <family val="2"/>
      </rPr>
      <t xml:space="preserve"> nedoporučujeme fólie ve vysokém lesku, pololesku a hlubokém matu.</t>
    </r>
  </si>
  <si>
    <t>Nejvhodnější tvar pro provedení vysoký lesk/hluboký mat doporučujeme tvar D07-R3.</t>
  </si>
  <si>
    <t>Maximální délka je 2500 mm, maximální šířka 1200 mm.</t>
  </si>
  <si>
    <t>Minimální rozměr je 60 mm x 60 mm – bude ofrézován rádiusem R3 dokola u všech provedení.</t>
  </si>
  <si>
    <t>U výšky dveří nad 1200 mm je možný vetší průhyb dvířka.</t>
  </si>
  <si>
    <t>do obj.formuláře bez úchytky.</t>
  </si>
  <si>
    <t xml:space="preserve">Při objednání tvaru dvířka s úchytkou UKS-7,UKS-5,UKS-10,UKS-11 zadávejte rozměr dvířek </t>
  </si>
  <si>
    <t>Při objednávce s požadavkem na návaznost let je nutné dodat spolu s objednávkou také přílohu,</t>
  </si>
  <si>
    <t>Pokud budete objednávat čílka na zásuvky, je nutné tuto položku označit v objednávce (zásuvka).</t>
  </si>
  <si>
    <t>Maximální výška dveří, u kterých mají být léta vodorovně je 1200mm s vyjímkou fólií</t>
  </si>
  <si>
    <t>U lepených tvarů je standardní tloušťka 22 mm – viz katalog.</t>
  </si>
  <si>
    <t>verze 2.0</t>
  </si>
  <si>
    <t>aktualizace cen fóliových dvířek platných od 1.2.2019</t>
  </si>
  <si>
    <t xml:space="preserve">Lepidlo pod fólií vyzrává sedm dní. </t>
  </si>
  <si>
    <t>Nevystavujte extrémním teplotám!</t>
  </si>
  <si>
    <t>verze 2.2</t>
  </si>
  <si>
    <t>aktualizace cen fóliových dvířek platných od 10.6..2019</t>
  </si>
  <si>
    <t>aktualizace skel + cen</t>
  </si>
  <si>
    <t>Satin extra čirý</t>
  </si>
  <si>
    <t>Screen</t>
  </si>
  <si>
    <t>Zrcadlo SAFE s bezpečnostní fólií</t>
  </si>
  <si>
    <t>extračiré sklo s fototiskem</t>
  </si>
  <si>
    <t>Matelac extra čirý lakovaný RAL/NCS</t>
  </si>
  <si>
    <t>ddd</t>
  </si>
  <si>
    <t>dv3124       Třešeň světlá Třešeň světlá</t>
  </si>
  <si>
    <t>3120</t>
  </si>
  <si>
    <t>9700</t>
  </si>
  <si>
    <t>dv7007</t>
  </si>
  <si>
    <t>černá lesk</t>
  </si>
  <si>
    <t>dv1925</t>
  </si>
  <si>
    <t>šedá lesk</t>
  </si>
  <si>
    <t>dv2010</t>
  </si>
  <si>
    <t>světle šedá vys.lesk</t>
  </si>
  <si>
    <t>BL3001</t>
  </si>
  <si>
    <t>červená vys. lesk</t>
  </si>
  <si>
    <t>dv1929</t>
  </si>
  <si>
    <t>fialová lesk</t>
  </si>
  <si>
    <t>pokud přidávám, upravit Q2 konec věncovek! - má být do skupiny 3 včetně</t>
  </si>
  <si>
    <t>T50J frézovaná úchytka</t>
  </si>
  <si>
    <t>verze 2.3</t>
  </si>
  <si>
    <t>aktualizace typů fólií</t>
  </si>
  <si>
    <t>přidání frézované T50J s příplatkem 30%</t>
  </si>
  <si>
    <t>tvarová úchytka</t>
  </si>
  <si>
    <t>příplatek tvarová</t>
  </si>
  <si>
    <t>fólie rozkopírovat</t>
  </si>
  <si>
    <t>11015</t>
  </si>
  <si>
    <t>10056</t>
  </si>
  <si>
    <t xml:space="preserve">Jasmín </t>
  </si>
  <si>
    <t>dv1923</t>
  </si>
  <si>
    <t>dv2101</t>
  </si>
  <si>
    <t>kachmir</t>
  </si>
  <si>
    <t xml:space="preserve">Dub alabastr        </t>
  </si>
  <si>
    <t>dv1901</t>
  </si>
  <si>
    <t>dv1920</t>
  </si>
  <si>
    <t>dv1924</t>
  </si>
  <si>
    <t>Třešeň Světlá</t>
  </si>
  <si>
    <t xml:space="preserve">dv1919 </t>
  </si>
  <si>
    <t>Višeň</t>
  </si>
  <si>
    <t>21SV</t>
  </si>
  <si>
    <t>Švestka</t>
  </si>
  <si>
    <t>Světlá švestka</t>
  </si>
  <si>
    <t>dv1912</t>
  </si>
  <si>
    <t>dv1917</t>
  </si>
  <si>
    <t>Akát světlý</t>
  </si>
  <si>
    <t>Borovice bílá</t>
  </si>
  <si>
    <t>Avole champagne</t>
  </si>
  <si>
    <t>dv1922</t>
  </si>
  <si>
    <t>Avola tmavě hnědá</t>
  </si>
  <si>
    <t>dv1907</t>
  </si>
  <si>
    <t>Mahagon</t>
  </si>
  <si>
    <t>dv1926</t>
  </si>
  <si>
    <t>Beton světlý</t>
  </si>
  <si>
    <t>dv1927</t>
  </si>
  <si>
    <t>Beton tmavý</t>
  </si>
  <si>
    <t>dv1903</t>
  </si>
  <si>
    <t>Buk bavaria</t>
  </si>
  <si>
    <t>dv2109</t>
  </si>
  <si>
    <t>Wenge</t>
  </si>
  <si>
    <t>dv1931</t>
  </si>
  <si>
    <t>Tmavý dub</t>
  </si>
  <si>
    <t>dv1932</t>
  </si>
  <si>
    <t>21PA</t>
  </si>
  <si>
    <t>27DB</t>
  </si>
  <si>
    <t>dv2102</t>
  </si>
  <si>
    <t>dv2103</t>
  </si>
  <si>
    <t>dv2104</t>
  </si>
  <si>
    <t>dv2105</t>
  </si>
  <si>
    <t>dv2106</t>
  </si>
  <si>
    <t xml:space="preserve">dv5103 </t>
  </si>
  <si>
    <t>dv5603</t>
  </si>
  <si>
    <t>magnolie hluboký mat</t>
  </si>
  <si>
    <t xml:space="preserve">Vanilla lesk </t>
  </si>
  <si>
    <t>dv2107</t>
  </si>
  <si>
    <t>dv2108</t>
  </si>
  <si>
    <t>133A</t>
  </si>
  <si>
    <t>20SV</t>
  </si>
  <si>
    <t>20ZE</t>
  </si>
  <si>
    <t>dv1801</t>
  </si>
  <si>
    <t>dv1802</t>
  </si>
  <si>
    <t>havanna 7935</t>
  </si>
  <si>
    <t>bavaria 381</t>
  </si>
  <si>
    <t>dub sonoma 3025</t>
  </si>
  <si>
    <t>verze 2.5</t>
  </si>
  <si>
    <t>aktualizace typů fólií a cenových kategorií</t>
  </si>
  <si>
    <t>Zrcadlo šedé</t>
  </si>
  <si>
    <t>Planibel tmavě šedý</t>
  </si>
  <si>
    <t>aktualizace cen skla</t>
  </si>
  <si>
    <t>prohození názvu zadní výplně</t>
  </si>
  <si>
    <t>úprava textu do objednávky číslo zvlášť, jméno zvlášť</t>
  </si>
  <si>
    <t>verze 2.6</t>
  </si>
  <si>
    <t>Satináto bronzové</t>
  </si>
  <si>
    <t>Satináto šedé</t>
  </si>
  <si>
    <t>Matelac čirý lakovaný RAL/NCS</t>
  </si>
  <si>
    <t xml:space="preserve">Písková             </t>
  </si>
  <si>
    <t>Dub Windy</t>
  </si>
  <si>
    <t>Dub okrový</t>
  </si>
  <si>
    <t>Driftwood</t>
  </si>
  <si>
    <t>3237001</t>
  </si>
  <si>
    <t>Zlatá švestka</t>
  </si>
  <si>
    <t>4242425</t>
  </si>
  <si>
    <t>4242417</t>
  </si>
  <si>
    <t>Buk čoko</t>
  </si>
  <si>
    <t>Jabloň Cava</t>
  </si>
  <si>
    <t xml:space="preserve">                      výběrové fólie skupina 4</t>
  </si>
  <si>
    <t>Dub sanremo</t>
  </si>
  <si>
    <t>Borovice bělená</t>
  </si>
  <si>
    <t>Borovice vintage</t>
  </si>
  <si>
    <t>Modřín latte</t>
  </si>
  <si>
    <t>Magnolie bílá</t>
  </si>
  <si>
    <t xml:space="preserve">    hluboký mat - skupina 5</t>
  </si>
  <si>
    <t xml:space="preserve">                      vysoký lesk skupina 6</t>
  </si>
  <si>
    <t xml:space="preserve">                      vysoký lesk výběrové skupina 7</t>
  </si>
  <si>
    <t>7079001</t>
  </si>
  <si>
    <t>Světle šedá vysoký lesk</t>
  </si>
  <si>
    <t>Šedá lesk</t>
  </si>
  <si>
    <t>Fialová lesk</t>
  </si>
  <si>
    <t>Magnolie vysoký lesk</t>
  </si>
  <si>
    <t>Antracit vys. lesk</t>
  </si>
  <si>
    <t>Béžová vysoký lesk PET</t>
  </si>
  <si>
    <t>2801</t>
  </si>
  <si>
    <t>4200</t>
  </si>
  <si>
    <t>2800</t>
  </si>
  <si>
    <t>6400</t>
  </si>
  <si>
    <t>Capuccino vys. Lesk PET</t>
  </si>
  <si>
    <t>Bílá s linkou</t>
  </si>
  <si>
    <t>Černá s linkou</t>
  </si>
  <si>
    <t>Materiál</t>
  </si>
  <si>
    <t>Výrobce</t>
  </si>
  <si>
    <t>Doporučujeme k foliím</t>
  </si>
  <si>
    <t>MDF 18mm bílá</t>
  </si>
  <si>
    <t>Kronospan</t>
  </si>
  <si>
    <t>všechny</t>
  </si>
  <si>
    <t>MDF 19mm bílá</t>
  </si>
  <si>
    <t>MDF 16mm bílá</t>
  </si>
  <si>
    <t>MDF 531 -18mm</t>
  </si>
  <si>
    <t>zebráno</t>
  </si>
  <si>
    <t>DDL</t>
  </si>
  <si>
    <t>20ZE06 zebráno vysoký lesk,</t>
  </si>
  <si>
    <t>MDF 854 -18mm</t>
  </si>
  <si>
    <t>wenge</t>
  </si>
  <si>
    <t>20WE00 wenge mat.</t>
  </si>
  <si>
    <t>MDF 381 -18mm</t>
  </si>
  <si>
    <t>buk bavaria</t>
  </si>
  <si>
    <t xml:space="preserve"> dv19036 buk Bavaria</t>
  </si>
  <si>
    <t>MDF 7935 -18mm</t>
  </si>
  <si>
    <t xml:space="preserve">havanna </t>
  </si>
  <si>
    <t>20SV švestka vysoký lesk, 3237001 švestka světlá</t>
  </si>
  <si>
    <t>MDF 8953 -18mm</t>
  </si>
  <si>
    <t>ořech</t>
  </si>
  <si>
    <t>27OR ořech tiepolo</t>
  </si>
  <si>
    <t>MDF 3025 -18mm</t>
  </si>
  <si>
    <t>dub sonoma</t>
  </si>
  <si>
    <t>dv2448 dub světlý</t>
  </si>
  <si>
    <t>MDF 190 -18mm</t>
  </si>
  <si>
    <t>černá</t>
  </si>
  <si>
    <t>2800 černá vysoký lesk</t>
  </si>
  <si>
    <t>ŽÁDNÉ PŘÍPLATKY ZA ATYPY</t>
  </si>
  <si>
    <t>příplatek</t>
  </si>
  <si>
    <t>příplatek sklo/mřížka</t>
  </si>
  <si>
    <t>Příplatek za montáž úchytky</t>
  </si>
  <si>
    <t>cena za naražení úchytky</t>
  </si>
  <si>
    <t>zrušení příplatku +30% za frézovanou úchytku T50J</t>
  </si>
  <si>
    <t>navýšení příplatku 55 kč za naražení UKS úchytky</t>
  </si>
  <si>
    <t>navýšení příplatku 61,- za naražení UKS úchytky</t>
  </si>
  <si>
    <t>verze 2.7</t>
  </si>
  <si>
    <t>gr2022</t>
  </si>
  <si>
    <t>Ledová modř</t>
  </si>
  <si>
    <t>gr2024</t>
  </si>
  <si>
    <t>Bordó</t>
  </si>
  <si>
    <t>gr2036</t>
  </si>
  <si>
    <t>Meruňka</t>
  </si>
  <si>
    <t>gr2041</t>
  </si>
  <si>
    <t>Oranžová</t>
  </si>
  <si>
    <t>gr2051</t>
  </si>
  <si>
    <t>Tmavě zelená</t>
  </si>
  <si>
    <t>gr2052</t>
  </si>
  <si>
    <t>Cihlová</t>
  </si>
  <si>
    <t>gr2057</t>
  </si>
  <si>
    <t>Šedá modř</t>
  </si>
  <si>
    <t>gr2032</t>
  </si>
  <si>
    <t>gr2058</t>
  </si>
  <si>
    <t>Cappuccino</t>
  </si>
  <si>
    <t>gr2064</t>
  </si>
  <si>
    <t>Lila mat</t>
  </si>
  <si>
    <t>gr2033</t>
  </si>
  <si>
    <t>gr2002</t>
  </si>
  <si>
    <t>Olše honey</t>
  </si>
  <si>
    <t>gr2013</t>
  </si>
  <si>
    <t>Calvados světlý</t>
  </si>
  <si>
    <t>gr2040</t>
  </si>
  <si>
    <t>Ořech saw</t>
  </si>
  <si>
    <t>gr2045</t>
  </si>
  <si>
    <t>Modrá</t>
  </si>
  <si>
    <t>gr2055</t>
  </si>
  <si>
    <t>Meranti světlé</t>
  </si>
  <si>
    <t>gr2028</t>
  </si>
  <si>
    <t>gr2047</t>
  </si>
  <si>
    <t>Arodub</t>
  </si>
  <si>
    <t>gr2048</t>
  </si>
  <si>
    <t>gr2004</t>
  </si>
  <si>
    <t>Fládr bílý</t>
  </si>
  <si>
    <t>gr2043</t>
  </si>
  <si>
    <t>Bambus</t>
  </si>
  <si>
    <t>gr2038</t>
  </si>
  <si>
    <t>Bříza saw</t>
  </si>
  <si>
    <t>gr2029</t>
  </si>
  <si>
    <t>Meranti tmavé</t>
  </si>
  <si>
    <t>gr2037</t>
  </si>
  <si>
    <t>Višeň metal</t>
  </si>
  <si>
    <t>gr2008</t>
  </si>
  <si>
    <t>Cremeline</t>
  </si>
  <si>
    <t>gr2049</t>
  </si>
  <si>
    <t>Rosé matné</t>
  </si>
  <si>
    <t>gr2005</t>
  </si>
  <si>
    <t>Krémová mat</t>
  </si>
  <si>
    <t>gr2006</t>
  </si>
  <si>
    <t>Bílá káva mat</t>
  </si>
  <si>
    <t>gr2009</t>
  </si>
  <si>
    <t>Šedá mat</t>
  </si>
  <si>
    <t>gr2025</t>
  </si>
  <si>
    <t>Dub polární</t>
  </si>
  <si>
    <t>gr2021</t>
  </si>
  <si>
    <t>Dub Tabacco</t>
  </si>
  <si>
    <t>gr2046</t>
  </si>
  <si>
    <t>Eben</t>
  </si>
  <si>
    <t>gr2010</t>
  </si>
  <si>
    <t>Buk Real</t>
  </si>
  <si>
    <t>gr2007</t>
  </si>
  <si>
    <t>Dub Rustico</t>
  </si>
  <si>
    <t>gr2448</t>
  </si>
  <si>
    <t>Dub Victoria</t>
  </si>
  <si>
    <t>gr2016</t>
  </si>
  <si>
    <t>Dub horský</t>
  </si>
  <si>
    <t>gr2035</t>
  </si>
  <si>
    <t>Buk Aragon</t>
  </si>
  <si>
    <t>gr2054</t>
  </si>
  <si>
    <t>Rez tmavá</t>
  </si>
  <si>
    <t>gr2018</t>
  </si>
  <si>
    <t>K016 Karbon</t>
  </si>
  <si>
    <t>gr2053</t>
  </si>
  <si>
    <t>K015 Vintage</t>
  </si>
  <si>
    <t>gr2062</t>
  </si>
  <si>
    <t>Antracit Opaco</t>
  </si>
  <si>
    <t>gr2044</t>
  </si>
  <si>
    <t>Hrušeň mat</t>
  </si>
  <si>
    <t>gr2068</t>
  </si>
  <si>
    <t>Jilm</t>
  </si>
  <si>
    <t>gr2059</t>
  </si>
  <si>
    <t>Jabloň mat</t>
  </si>
  <si>
    <t>gr2060</t>
  </si>
  <si>
    <t>Tyrol mat</t>
  </si>
  <si>
    <t>gr2020</t>
  </si>
  <si>
    <t>dub Ontario</t>
  </si>
  <si>
    <t>gr2042</t>
  </si>
  <si>
    <t>dub Regina</t>
  </si>
  <si>
    <t>gr2023</t>
  </si>
  <si>
    <t>Švestka matná</t>
  </si>
  <si>
    <t>gr2067</t>
  </si>
  <si>
    <t>Oliva mat</t>
  </si>
  <si>
    <t>gr2030</t>
  </si>
  <si>
    <t>K021 Barley</t>
  </si>
  <si>
    <t>gr2015</t>
  </si>
  <si>
    <t>Perleťová</t>
  </si>
  <si>
    <t>gr2012</t>
  </si>
  <si>
    <t>Antracit</t>
  </si>
  <si>
    <t>gr2027</t>
  </si>
  <si>
    <t>Beton jemný</t>
  </si>
  <si>
    <t>dv2302</t>
  </si>
  <si>
    <t>Bílá káva ultra mat</t>
  </si>
  <si>
    <t>dv2304</t>
  </si>
  <si>
    <t>Světle šedá ultra mat</t>
  </si>
  <si>
    <t>dv2301</t>
  </si>
  <si>
    <t xml:space="preserve">Sněhově bílá super mat              </t>
  </si>
  <si>
    <t>dv2305</t>
  </si>
  <si>
    <t>Grafit super mat</t>
  </si>
  <si>
    <t>gr2001</t>
  </si>
  <si>
    <t>Satin bílý supermat</t>
  </si>
  <si>
    <t>dv2303</t>
  </si>
  <si>
    <t>Bílá ultra mat</t>
  </si>
  <si>
    <t>gr2056</t>
  </si>
  <si>
    <t>lesklá červená</t>
  </si>
  <si>
    <t>gr2063</t>
  </si>
  <si>
    <t>Lesklé Meranti</t>
  </si>
  <si>
    <t>verze 3.0</t>
  </si>
  <si>
    <t>navýšení příplatku 116,- za naražení UKS úchytky</t>
  </si>
  <si>
    <t>mřížka 4 okénka</t>
  </si>
  <si>
    <t>mřížka 6 okének</t>
  </si>
  <si>
    <t>přidána mřížka 4 a 6 okének</t>
  </si>
  <si>
    <t>příplatková cenová skupina zrušena pro D8,23,32</t>
  </si>
  <si>
    <t>surová hladké</t>
  </si>
  <si>
    <t>surová ostatní</t>
  </si>
  <si>
    <t>surová oboustranná hladké</t>
  </si>
  <si>
    <t>surová oboustranná ostatní</t>
  </si>
  <si>
    <t>jednostranně laminovaná MDF tl. 18 mm - hladké tvary</t>
  </si>
  <si>
    <t>jednostranně laminovaná MDF tl. 18 mm - ostatní tvary</t>
  </si>
  <si>
    <t>oboustranně laminovaná MDF tl. 18 mm - hladké tvary</t>
  </si>
  <si>
    <t>oboustranně laminovaná MDF tl. 18 mm - ostatní tvary</t>
  </si>
  <si>
    <t>dv1918</t>
  </si>
  <si>
    <t>platnost od 15.1.2024 (v3.0)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</si>
</sst>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"/>
    <numFmt numFmtId="167" formatCode="0.000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\ &quot;Kč&quot;"/>
  </numFmts>
  <fonts count="97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8"/>
      <name val="Arial"/>
      <family val="2"/>
    </font>
    <font>
      <sz val="15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10"/>
      <name val="Arial"/>
      <family val="2"/>
    </font>
    <font>
      <i/>
      <sz val="8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Courier New"/>
      <family val="3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5" tint="-0.24997000396251678"/>
      <name val="Arial"/>
      <family val="2"/>
    </font>
    <font>
      <b/>
      <i/>
      <sz val="10"/>
      <color theme="5" tint="-0.24997000396251678"/>
      <name val="Arial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A20000"/>
      <name val="Arial"/>
      <family val="2"/>
    </font>
    <font>
      <b/>
      <sz val="10"/>
      <color rgb="FF920000"/>
      <name val="Arial"/>
      <family val="2"/>
    </font>
    <font>
      <sz val="10"/>
      <color theme="1"/>
      <name val="Tahoma"/>
      <family val="2"/>
    </font>
    <font>
      <sz val="10"/>
      <color theme="5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19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21" fillId="0" borderId="13" xfId="0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49" fontId="16" fillId="0" borderId="14" xfId="0" applyNumberFormat="1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6" fillId="0" borderId="14" xfId="0" applyFont="1" applyBorder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15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24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25" fillId="0" borderId="25" xfId="0" applyFont="1" applyBorder="1" applyAlignment="1">
      <alignment/>
    </xf>
    <xf numFmtId="0" fontId="27" fillId="35" borderId="19" xfId="0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7" fillId="35" borderId="19" xfId="0" applyFont="1" applyFill="1" applyBorder="1" applyAlignment="1" applyProtection="1">
      <alignment horizontal="center"/>
      <protection locked="0"/>
    </xf>
    <xf numFmtId="0" fontId="27" fillId="35" borderId="20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166" fontId="28" fillId="0" borderId="0" xfId="0" applyNumberFormat="1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28" fillId="0" borderId="19" xfId="0" applyNumberFormat="1" applyFont="1" applyFill="1" applyBorder="1" applyAlignment="1" applyProtection="1">
      <alignment horizontal="center"/>
      <protection locked="0"/>
    </xf>
    <xf numFmtId="2" fontId="28" fillId="0" borderId="20" xfId="0" applyNumberFormat="1" applyFont="1" applyFill="1" applyBorder="1" applyAlignment="1" applyProtection="1">
      <alignment horizontal="center"/>
      <protection locked="0"/>
    </xf>
    <xf numFmtId="0" fontId="29" fillId="35" borderId="19" xfId="0" applyFont="1" applyFill="1" applyBorder="1" applyAlignment="1" applyProtection="1">
      <alignment horizontal="center" vertical="center"/>
      <protection locked="0"/>
    </xf>
    <xf numFmtId="0" fontId="29" fillId="35" borderId="20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27" fillId="0" borderId="19" xfId="0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 horizontal="center"/>
    </xf>
    <xf numFmtId="166" fontId="28" fillId="0" borderId="29" xfId="0" applyNumberFormat="1" applyFont="1" applyBorder="1" applyAlignment="1">
      <alignment horizontal="center"/>
    </xf>
    <xf numFmtId="0" fontId="27" fillId="35" borderId="30" xfId="0" applyFont="1" applyFill="1" applyBorder="1" applyAlignment="1" applyProtection="1">
      <alignment/>
      <protection locked="0"/>
    </xf>
    <xf numFmtId="0" fontId="27" fillId="35" borderId="31" xfId="0" applyFont="1" applyFill="1" applyBorder="1" applyAlignment="1" applyProtection="1">
      <alignment/>
      <protection locked="0"/>
    </xf>
    <xf numFmtId="0" fontId="27" fillId="0" borderId="31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88" fillId="0" borderId="0" xfId="0" applyFont="1" applyFill="1" applyAlignment="1" applyProtection="1">
      <alignment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34" fillId="0" borderId="0" xfId="0" applyFont="1" applyAlignment="1">
      <alignment/>
    </xf>
    <xf numFmtId="0" fontId="34" fillId="0" borderId="32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33" xfId="0" applyFont="1" applyFill="1" applyBorder="1" applyAlignment="1" applyProtection="1">
      <alignment/>
      <protection hidden="1"/>
    </xf>
    <xf numFmtId="0" fontId="21" fillId="0" borderId="34" xfId="0" applyFont="1" applyFill="1" applyBorder="1" applyAlignment="1" applyProtection="1">
      <alignment/>
      <protection hidden="1"/>
    </xf>
    <xf numFmtId="0" fontId="89" fillId="0" borderId="11" xfId="0" applyFont="1" applyFill="1" applyBorder="1" applyAlignment="1" applyProtection="1">
      <alignment vertical="center"/>
      <protection hidden="1"/>
    </xf>
    <xf numFmtId="0" fontId="89" fillId="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6" fillId="0" borderId="0" xfId="47" applyFont="1" applyProtection="1">
      <alignment/>
      <protection hidden="1"/>
    </xf>
    <xf numFmtId="0" fontId="13" fillId="0" borderId="0" xfId="47" applyFo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Font="1" applyAlignment="1">
      <alignment horizontal="left"/>
    </xf>
    <xf numFmtId="4" fontId="16" fillId="0" borderId="0" xfId="0" applyNumberFormat="1" applyFont="1" applyFill="1" applyAlignment="1">
      <alignment horizontal="left"/>
    </xf>
    <xf numFmtId="49" fontId="15" fillId="36" borderId="0" xfId="0" applyNumberFormat="1" applyFont="1" applyFill="1" applyAlignment="1" applyProtection="1">
      <alignment horizontal="center"/>
      <protection/>
    </xf>
    <xf numFmtId="49" fontId="37" fillId="36" borderId="0" xfId="0" applyNumberFormat="1" applyFont="1" applyFill="1" applyBorder="1" applyAlignment="1" applyProtection="1">
      <alignment horizontal="center"/>
      <protection/>
    </xf>
    <xf numFmtId="49" fontId="15" fillId="36" borderId="0" xfId="0" applyNumberFormat="1" applyFont="1" applyFill="1" applyBorder="1" applyAlignment="1" applyProtection="1">
      <alignment horizontal="center"/>
      <protection/>
    </xf>
    <xf numFmtId="49" fontId="14" fillId="36" borderId="0" xfId="0" applyNumberFormat="1" applyFont="1" applyFill="1" applyAlignment="1" applyProtection="1">
      <alignment horizontal="right"/>
      <protection/>
    </xf>
    <xf numFmtId="49" fontId="15" fillId="36" borderId="35" xfId="0" applyNumberFormat="1" applyFont="1" applyFill="1" applyBorder="1" applyAlignment="1" applyProtection="1">
      <alignment vertical="center" wrapText="1"/>
      <protection/>
    </xf>
    <xf numFmtId="49" fontId="15" fillId="36" borderId="36" xfId="0" applyNumberFormat="1" applyFont="1" applyFill="1" applyBorder="1" applyAlignment="1" applyProtection="1">
      <alignment horizontal="right" vertical="center"/>
      <protection/>
    </xf>
    <xf numFmtId="49" fontId="38" fillId="36" borderId="37" xfId="0" applyNumberFormat="1" applyFont="1" applyFill="1" applyBorder="1" applyAlignment="1" applyProtection="1">
      <alignment horizontal="center" vertical="center" wrapText="1"/>
      <protection/>
    </xf>
    <xf numFmtId="49" fontId="38" fillId="36" borderId="23" xfId="0" applyNumberFormat="1" applyFont="1" applyFill="1" applyBorder="1" applyAlignment="1" applyProtection="1">
      <alignment horizontal="center" vertical="center" wrapText="1"/>
      <protection/>
    </xf>
    <xf numFmtId="49" fontId="39" fillId="36" borderId="23" xfId="0" applyNumberFormat="1" applyFont="1" applyFill="1" applyBorder="1" applyAlignment="1" applyProtection="1">
      <alignment horizontal="center" vertical="center" wrapText="1"/>
      <protection/>
    </xf>
    <xf numFmtId="49" fontId="15" fillId="36" borderId="23" xfId="0" applyNumberFormat="1" applyFont="1" applyFill="1" applyBorder="1" applyAlignment="1" applyProtection="1">
      <alignment horizontal="center" vertical="center"/>
      <protection/>
    </xf>
    <xf numFmtId="49" fontId="38" fillId="36" borderId="38" xfId="0" applyNumberFormat="1" applyFont="1" applyFill="1" applyBorder="1" applyAlignment="1" applyProtection="1">
      <alignment horizontal="center" vertical="center" wrapText="1"/>
      <protection/>
    </xf>
    <xf numFmtId="1" fontId="15" fillId="36" borderId="39" xfId="0" applyNumberFormat="1" applyFont="1" applyFill="1" applyBorder="1" applyAlignment="1" applyProtection="1">
      <alignment horizontal="center" vertical="center"/>
      <protection/>
    </xf>
    <xf numFmtId="1" fontId="15" fillId="36" borderId="20" xfId="0" applyNumberFormat="1" applyFont="1" applyFill="1" applyBorder="1" applyAlignment="1" applyProtection="1">
      <alignment horizontal="center" vertical="center"/>
      <protection/>
    </xf>
    <xf numFmtId="49" fontId="15" fillId="36" borderId="20" xfId="0" applyNumberFormat="1" applyFont="1" applyFill="1" applyBorder="1" applyAlignment="1" applyProtection="1">
      <alignment horizontal="center" vertical="center"/>
      <protection/>
    </xf>
    <xf numFmtId="0" fontId="15" fillId="36" borderId="20" xfId="0" applyNumberFormat="1" applyFont="1" applyFill="1" applyBorder="1" applyAlignment="1" applyProtection="1">
      <alignment horizontal="center" vertical="center"/>
      <protection/>
    </xf>
    <xf numFmtId="49" fontId="15" fillId="36" borderId="20" xfId="0" applyNumberFormat="1" applyFont="1" applyFill="1" applyBorder="1" applyAlignment="1" applyProtection="1">
      <alignment horizontal="center"/>
      <protection/>
    </xf>
    <xf numFmtId="1" fontId="15" fillId="36" borderId="40" xfId="0" applyNumberFormat="1" applyFont="1" applyFill="1" applyBorder="1" applyAlignment="1" applyProtection="1">
      <alignment horizontal="center" vertical="center"/>
      <protection/>
    </xf>
    <xf numFmtId="49" fontId="15" fillId="36" borderId="40" xfId="0" applyNumberFormat="1" applyFont="1" applyFill="1" applyBorder="1" applyAlignment="1" applyProtection="1">
      <alignment horizontal="center" vertical="center"/>
      <protection/>
    </xf>
    <xf numFmtId="1" fontId="15" fillId="36" borderId="41" xfId="0" applyNumberFormat="1" applyFont="1" applyFill="1" applyBorder="1" applyAlignment="1" applyProtection="1">
      <alignment horizontal="center"/>
      <protection/>
    </xf>
    <xf numFmtId="49" fontId="15" fillId="36" borderId="41" xfId="0" applyNumberFormat="1" applyFont="1" applyFill="1" applyBorder="1" applyAlignment="1" applyProtection="1">
      <alignment horizontal="center"/>
      <protection/>
    </xf>
    <xf numFmtId="0" fontId="15" fillId="36" borderId="41" xfId="0" applyFont="1" applyFill="1" applyBorder="1" applyAlignment="1" applyProtection="1">
      <alignment horizontal="center"/>
      <protection/>
    </xf>
    <xf numFmtId="167" fontId="15" fillId="36" borderId="42" xfId="0" applyNumberFormat="1" applyFont="1" applyFill="1" applyBorder="1" applyAlignment="1" applyProtection="1">
      <alignment horizontal="center"/>
      <protection/>
    </xf>
    <xf numFmtId="49" fontId="15" fillId="36" borderId="43" xfId="0" applyNumberFormat="1" applyFont="1" applyFill="1" applyBorder="1" applyAlignment="1" applyProtection="1">
      <alignment horizontal="center"/>
      <protection/>
    </xf>
    <xf numFmtId="49" fontId="38" fillId="36" borderId="44" xfId="0" applyNumberFormat="1" applyFont="1" applyFill="1" applyBorder="1" applyAlignment="1" applyProtection="1">
      <alignment horizontal="center" vertical="center" wrapText="1"/>
      <protection/>
    </xf>
    <xf numFmtId="49" fontId="38" fillId="36" borderId="45" xfId="0" applyNumberFormat="1" applyFont="1" applyFill="1" applyBorder="1" applyAlignment="1" applyProtection="1">
      <alignment horizontal="center" vertical="center" wrapText="1"/>
      <protection/>
    </xf>
    <xf numFmtId="49" fontId="15" fillId="36" borderId="45" xfId="0" applyNumberFormat="1" applyFont="1" applyFill="1" applyBorder="1" applyAlignment="1" applyProtection="1">
      <alignment horizontal="center"/>
      <protection/>
    </xf>
    <xf numFmtId="1" fontId="15" fillId="36" borderId="46" xfId="0" applyNumberFormat="1" applyFont="1" applyFill="1" applyBorder="1" applyAlignment="1" applyProtection="1">
      <alignment/>
      <protection/>
    </xf>
    <xf numFmtId="1" fontId="15" fillId="36" borderId="47" xfId="0" applyNumberFormat="1" applyFont="1" applyFill="1" applyBorder="1" applyAlignment="1" applyProtection="1">
      <alignment/>
      <protection/>
    </xf>
    <xf numFmtId="1" fontId="0" fillId="36" borderId="47" xfId="0" applyNumberFormat="1" applyFill="1" applyBorder="1" applyAlignment="1" applyProtection="1">
      <alignment horizontal="center"/>
      <protection/>
    </xf>
    <xf numFmtId="49" fontId="0" fillId="36" borderId="48" xfId="0" applyNumberFormat="1" applyFill="1" applyBorder="1" applyAlignment="1" applyProtection="1">
      <alignment/>
      <protection/>
    </xf>
    <xf numFmtId="0" fontId="15" fillId="36" borderId="4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left"/>
      <protection hidden="1"/>
    </xf>
    <xf numFmtId="0" fontId="0" fillId="36" borderId="47" xfId="0" applyNumberForma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13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13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/>
    </xf>
    <xf numFmtId="49" fontId="13" fillId="0" borderId="50" xfId="0" applyNumberFormat="1" applyFont="1" applyFill="1" applyBorder="1" applyAlignment="1">
      <alignment wrapText="1"/>
    </xf>
    <xf numFmtId="49" fontId="13" fillId="0" borderId="51" xfId="0" applyNumberFormat="1" applyFont="1" applyFill="1" applyBorder="1" applyAlignment="1">
      <alignment wrapText="1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4" fontId="1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92" fillId="0" borderId="0" xfId="0" applyFont="1" applyAlignment="1">
      <alignment/>
    </xf>
    <xf numFmtId="0" fontId="92" fillId="0" borderId="0" xfId="0" applyFont="1" applyFill="1" applyAlignment="1" applyProtection="1">
      <alignment/>
      <protection/>
    </xf>
    <xf numFmtId="1" fontId="92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1" fontId="92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0" fontId="0" fillId="0" borderId="52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/>
      <protection hidden="1"/>
    </xf>
    <xf numFmtId="0" fontId="33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/>
      <protection hidden="1"/>
    </xf>
    <xf numFmtId="0" fontId="3" fillId="0" borderId="56" xfId="0" applyFont="1" applyFill="1" applyBorder="1" applyAlignment="1" applyProtection="1">
      <alignment horizontal="center"/>
      <protection hidden="1"/>
    </xf>
    <xf numFmtId="0" fontId="3" fillId="0" borderId="57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/>
      <protection hidden="1"/>
    </xf>
    <xf numFmtId="0" fontId="3" fillId="0" borderId="50" xfId="0" applyFont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7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3" fillId="0" borderId="0" xfId="0" applyFont="1" applyAlignment="1">
      <alignment vertical="center"/>
    </xf>
    <xf numFmtId="0" fontId="93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27" fillId="0" borderId="58" xfId="0" applyFont="1" applyFill="1" applyBorder="1" applyAlignment="1">
      <alignment vertical="center"/>
    </xf>
    <xf numFmtId="0" fontId="27" fillId="0" borderId="59" xfId="0" applyFont="1" applyFill="1" applyBorder="1" applyAlignment="1">
      <alignment horizontal="center" vertical="center"/>
    </xf>
    <xf numFmtId="173" fontId="28" fillId="0" borderId="60" xfId="0" applyNumberFormat="1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vertical="center"/>
    </xf>
    <xf numFmtId="0" fontId="27" fillId="0" borderId="62" xfId="0" applyFont="1" applyFill="1" applyBorder="1" applyAlignment="1">
      <alignment horizontal="center" vertical="center"/>
    </xf>
    <xf numFmtId="173" fontId="28" fillId="0" borderId="63" xfId="0" applyNumberFormat="1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vertical="center"/>
    </xf>
    <xf numFmtId="0" fontId="27" fillId="0" borderId="65" xfId="0" applyFont="1" applyFill="1" applyBorder="1" applyAlignment="1">
      <alignment horizontal="center" vertical="center"/>
    </xf>
    <xf numFmtId="173" fontId="28" fillId="0" borderId="66" xfId="0" applyNumberFormat="1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/>
    </xf>
    <xf numFmtId="0" fontId="27" fillId="0" borderId="65" xfId="0" applyFont="1" applyFill="1" applyBorder="1" applyAlignment="1">
      <alignment horizontal="center"/>
    </xf>
    <xf numFmtId="2" fontId="27" fillId="0" borderId="58" xfId="0" applyNumberFormat="1" applyFont="1" applyFill="1" applyBorder="1" applyAlignment="1">
      <alignment/>
    </xf>
    <xf numFmtId="2" fontId="27" fillId="0" borderId="61" xfId="0" applyNumberFormat="1" applyFont="1" applyFill="1" applyBorder="1" applyAlignment="1">
      <alignment/>
    </xf>
    <xf numFmtId="2" fontId="24" fillId="0" borderId="61" xfId="0" applyNumberFormat="1" applyFont="1" applyFill="1" applyBorder="1" applyAlignment="1">
      <alignment/>
    </xf>
    <xf numFmtId="0" fontId="24" fillId="0" borderId="62" xfId="0" applyFont="1" applyFill="1" applyBorder="1" applyAlignment="1">
      <alignment horizontal="center" vertical="center"/>
    </xf>
    <xf numFmtId="173" fontId="25" fillId="0" borderId="63" xfId="0" applyNumberFormat="1" applyFont="1" applyFill="1" applyBorder="1" applyAlignment="1">
      <alignment horizontal="center" vertical="center"/>
    </xf>
    <xf numFmtId="2" fontId="27" fillId="0" borderId="64" xfId="0" applyNumberFormat="1" applyFont="1" applyFill="1" applyBorder="1" applyAlignment="1">
      <alignment/>
    </xf>
    <xf numFmtId="0" fontId="95" fillId="0" borderId="61" xfId="0" applyFont="1" applyBorder="1" applyAlignment="1">
      <alignment/>
    </xf>
    <xf numFmtId="0" fontId="95" fillId="0" borderId="62" xfId="0" applyFont="1" applyBorder="1" applyAlignment="1">
      <alignment horizontal="center"/>
    </xf>
    <xf numFmtId="49" fontId="13" fillId="37" borderId="52" xfId="0" applyNumberFormat="1" applyFont="1" applyFill="1" applyBorder="1" applyAlignment="1">
      <alignment horizontal="left" wrapText="1"/>
    </xf>
    <xf numFmtId="49" fontId="13" fillId="37" borderId="53" xfId="0" applyNumberFormat="1" applyFont="1" applyFill="1" applyBorder="1" applyAlignment="1">
      <alignment wrapText="1"/>
    </xf>
    <xf numFmtId="49" fontId="13" fillId="37" borderId="0" xfId="0" applyNumberFormat="1" applyFont="1" applyFill="1" applyBorder="1" applyAlignment="1">
      <alignment horizontal="left" wrapText="1"/>
    </xf>
    <xf numFmtId="49" fontId="13" fillId="37" borderId="51" xfId="0" applyNumberFormat="1" applyFont="1" applyFill="1" applyBorder="1" applyAlignment="1">
      <alignment horizontal="left" wrapText="1"/>
    </xf>
    <xf numFmtId="49" fontId="21" fillId="37" borderId="0" xfId="0" applyNumberFormat="1" applyFont="1" applyFill="1" applyBorder="1" applyAlignment="1">
      <alignment/>
    </xf>
    <xf numFmtId="49" fontId="21" fillId="37" borderId="51" xfId="0" applyNumberFormat="1" applyFont="1" applyFill="1" applyBorder="1" applyAlignment="1">
      <alignment horizontal="left"/>
    </xf>
    <xf numFmtId="49" fontId="13" fillId="38" borderId="0" xfId="0" applyNumberFormat="1" applyFont="1" applyFill="1" applyBorder="1" applyAlignment="1">
      <alignment horizontal="left" wrapText="1"/>
    </xf>
    <xf numFmtId="49" fontId="21" fillId="38" borderId="0" xfId="0" applyNumberFormat="1" applyFont="1" applyFill="1" applyBorder="1" applyAlignment="1">
      <alignment horizontal="left"/>
    </xf>
    <xf numFmtId="49" fontId="23" fillId="0" borderId="56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/>
    </xf>
    <xf numFmtId="49" fontId="13" fillId="0" borderId="52" xfId="0" applyNumberFormat="1" applyFont="1" applyBorder="1" applyAlignment="1">
      <alignment wrapText="1"/>
    </xf>
    <xf numFmtId="49" fontId="21" fillId="0" borderId="52" xfId="0" applyNumberFormat="1" applyFont="1" applyBorder="1" applyAlignment="1">
      <alignment horizontal="left"/>
    </xf>
    <xf numFmtId="49" fontId="21" fillId="37" borderId="0" xfId="0" applyNumberFormat="1" applyFont="1" applyFill="1" applyBorder="1" applyAlignment="1">
      <alignment horizontal="left"/>
    </xf>
    <xf numFmtId="49" fontId="13" fillId="37" borderId="52" xfId="0" applyNumberFormat="1" applyFont="1" applyFill="1" applyBorder="1" applyAlignment="1">
      <alignment wrapText="1"/>
    </xf>
    <xf numFmtId="49" fontId="21" fillId="37" borderId="52" xfId="0" applyNumberFormat="1" applyFont="1" applyFill="1" applyBorder="1" applyAlignment="1">
      <alignment horizontal="left"/>
    </xf>
    <xf numFmtId="49" fontId="13" fillId="37" borderId="0" xfId="0" applyNumberFormat="1" applyFont="1" applyFill="1" applyBorder="1" applyAlignment="1">
      <alignment wrapText="1"/>
    </xf>
    <xf numFmtId="49" fontId="21" fillId="37" borderId="53" xfId="0" applyNumberFormat="1" applyFont="1" applyFill="1" applyBorder="1" applyAlignment="1">
      <alignment/>
    </xf>
    <xf numFmtId="0" fontId="16" fillId="0" borderId="14" xfId="0" applyNumberFormat="1" applyFont="1" applyBorder="1" applyAlignment="1">
      <alignment horizontal="left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39" borderId="0" xfId="0" applyNumberFormat="1" applyFont="1" applyFill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27" fillId="0" borderId="67" xfId="0" applyNumberFormat="1" applyFont="1" applyFill="1" applyBorder="1" applyAlignment="1">
      <alignment/>
    </xf>
    <xf numFmtId="0" fontId="27" fillId="0" borderId="68" xfId="0" applyFont="1" applyFill="1" applyBorder="1" applyAlignment="1">
      <alignment horizontal="center" vertical="center"/>
    </xf>
    <xf numFmtId="173" fontId="28" fillId="0" borderId="69" xfId="0" applyNumberFormat="1" applyFont="1" applyFill="1" applyBorder="1" applyAlignment="1">
      <alignment horizontal="center" vertical="center"/>
    </xf>
    <xf numFmtId="9" fontId="16" fillId="0" borderId="0" xfId="0" applyNumberFormat="1" applyFont="1" applyFill="1" applyAlignment="1">
      <alignment horizontal="left"/>
    </xf>
    <xf numFmtId="0" fontId="3" fillId="0" borderId="14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15" fillId="0" borderId="0" xfId="0" applyFont="1" applyFill="1" applyAlignment="1">
      <alignment horizontal="left"/>
    </xf>
    <xf numFmtId="4" fontId="16" fillId="0" borderId="0" xfId="0" applyNumberFormat="1" applyFont="1" applyAlignment="1">
      <alignment horizontal="left"/>
    </xf>
    <xf numFmtId="49" fontId="9" fillId="36" borderId="70" xfId="0" applyNumberFormat="1" applyFont="1" applyFill="1" applyBorder="1" applyAlignment="1" applyProtection="1">
      <alignment horizontal="center"/>
      <protection/>
    </xf>
    <xf numFmtId="49" fontId="9" fillId="36" borderId="71" xfId="0" applyNumberFormat="1" applyFont="1" applyFill="1" applyBorder="1" applyAlignment="1" applyProtection="1">
      <alignment horizontal="center"/>
      <protection/>
    </xf>
    <xf numFmtId="49" fontId="9" fillId="36" borderId="72" xfId="0" applyNumberFormat="1" applyFont="1" applyFill="1" applyBorder="1" applyAlignment="1" applyProtection="1">
      <alignment horizontal="center"/>
      <protection/>
    </xf>
    <xf numFmtId="49" fontId="15" fillId="36" borderId="73" xfId="0" applyNumberFormat="1" applyFont="1" applyFill="1" applyBorder="1" applyAlignment="1" applyProtection="1">
      <alignment horizontal="center"/>
      <protection/>
    </xf>
    <xf numFmtId="49" fontId="15" fillId="36" borderId="74" xfId="0" applyNumberFormat="1" applyFont="1" applyFill="1" applyBorder="1" applyAlignment="1" applyProtection="1">
      <alignment horizontal="center"/>
      <protection/>
    </xf>
    <xf numFmtId="49" fontId="15" fillId="36" borderId="75" xfId="0" applyNumberFormat="1" applyFont="1" applyFill="1" applyBorder="1" applyAlignment="1" applyProtection="1">
      <alignment horizontal="center"/>
      <protection/>
    </xf>
    <xf numFmtId="49" fontId="9" fillId="36" borderId="76" xfId="0" applyNumberFormat="1" applyFont="1" applyFill="1" applyBorder="1" applyAlignment="1" applyProtection="1">
      <alignment horizontal="center"/>
      <protection/>
    </xf>
    <xf numFmtId="49" fontId="15" fillId="36" borderId="43" xfId="0" applyNumberFormat="1" applyFont="1" applyFill="1" applyBorder="1" applyAlignment="1" applyProtection="1">
      <alignment horizontal="center"/>
      <protection/>
    </xf>
    <xf numFmtId="49" fontId="15" fillId="36" borderId="77" xfId="0" applyNumberFormat="1" applyFont="1" applyFill="1" applyBorder="1" applyAlignment="1" applyProtection="1">
      <alignment horizontal="center"/>
      <protection/>
    </xf>
    <xf numFmtId="49" fontId="15" fillId="36" borderId="0" xfId="0" applyNumberFormat="1" applyFont="1" applyFill="1" applyBorder="1" applyAlignment="1" applyProtection="1">
      <alignment horizontal="center"/>
      <protection/>
    </xf>
    <xf numFmtId="49" fontId="15" fillId="36" borderId="78" xfId="0" applyNumberFormat="1" applyFont="1" applyFill="1" applyBorder="1" applyAlignment="1" applyProtection="1">
      <alignment horizontal="center"/>
      <protection/>
    </xf>
    <xf numFmtId="49" fontId="15" fillId="36" borderId="48" xfId="0" applyNumberFormat="1" applyFont="1" applyFill="1" applyBorder="1" applyAlignment="1" applyProtection="1">
      <alignment horizontal="center"/>
      <protection/>
    </xf>
    <xf numFmtId="49" fontId="15" fillId="36" borderId="79" xfId="0" applyNumberFormat="1" applyFont="1" applyFill="1" applyBorder="1" applyAlignment="1" applyProtection="1">
      <alignment horizontal="center"/>
      <protection/>
    </xf>
    <xf numFmtId="49" fontId="15" fillId="36" borderId="80" xfId="0" applyNumberFormat="1" applyFont="1" applyFill="1" applyBorder="1" applyAlignment="1" applyProtection="1">
      <alignment horizontal="center"/>
      <protection/>
    </xf>
    <xf numFmtId="49" fontId="15" fillId="36" borderId="81" xfId="0" applyNumberFormat="1" applyFont="1" applyFill="1" applyBorder="1" applyAlignment="1" applyProtection="1">
      <alignment horizontal="center"/>
      <protection/>
    </xf>
    <xf numFmtId="49" fontId="0" fillId="36" borderId="82" xfId="0" applyNumberFormat="1" applyFill="1" applyBorder="1" applyAlignment="1" applyProtection="1">
      <alignment horizontal="center"/>
      <protection/>
    </xf>
    <xf numFmtId="49" fontId="0" fillId="36" borderId="83" xfId="0" applyNumberFormat="1" applyFill="1" applyBorder="1" applyAlignment="1" applyProtection="1">
      <alignment horizontal="center"/>
      <protection/>
    </xf>
    <xf numFmtId="49" fontId="15" fillId="36" borderId="84" xfId="0" applyNumberFormat="1" applyFont="1" applyFill="1" applyBorder="1" applyAlignment="1" applyProtection="1">
      <alignment horizontal="center"/>
      <protection/>
    </xf>
    <xf numFmtId="49" fontId="15" fillId="36" borderId="85" xfId="0" applyNumberFormat="1" applyFont="1" applyFill="1" applyBorder="1" applyAlignment="1" applyProtection="1">
      <alignment horizontal="center"/>
      <protection/>
    </xf>
    <xf numFmtId="49" fontId="15" fillId="36" borderId="86" xfId="0" applyNumberFormat="1" applyFont="1" applyFill="1" applyBorder="1" applyAlignment="1" applyProtection="1">
      <alignment horizontal="center"/>
      <protection/>
    </xf>
    <xf numFmtId="49" fontId="15" fillId="36" borderId="87" xfId="0" applyNumberFormat="1" applyFont="1" applyFill="1" applyBorder="1" applyAlignment="1" applyProtection="1">
      <alignment horizontal="center"/>
      <protection/>
    </xf>
    <xf numFmtId="49" fontId="15" fillId="36" borderId="88" xfId="0" applyNumberFormat="1" applyFont="1" applyFill="1" applyBorder="1" applyAlignment="1" applyProtection="1">
      <alignment horizontal="center" vertical="center" wrapText="1"/>
      <protection/>
    </xf>
    <xf numFmtId="49" fontId="15" fillId="36" borderId="89" xfId="0" applyNumberFormat="1" applyFont="1" applyFill="1" applyBorder="1" applyAlignment="1" applyProtection="1">
      <alignment horizontal="center" vertical="center" wrapText="1"/>
      <protection/>
    </xf>
    <xf numFmtId="14" fontId="3" fillId="0" borderId="21" xfId="0" applyNumberFormat="1" applyFont="1" applyBorder="1" applyAlignment="1">
      <alignment horizontal="center" vertical="center"/>
    </xf>
    <xf numFmtId="14" fontId="3" fillId="0" borderId="90" xfId="0" applyNumberFormat="1" applyFont="1" applyBorder="1" applyAlignment="1">
      <alignment horizontal="center" vertical="center"/>
    </xf>
    <xf numFmtId="14" fontId="3" fillId="0" borderId="91" xfId="0" applyNumberFormat="1" applyFont="1" applyBorder="1" applyAlignment="1">
      <alignment horizontal="center" vertical="center"/>
    </xf>
    <xf numFmtId="49" fontId="15" fillId="36" borderId="80" xfId="0" applyNumberFormat="1" applyFont="1" applyFill="1" applyBorder="1" applyAlignment="1" applyProtection="1">
      <alignment horizontal="center" vertical="center" wrapText="1"/>
      <protection/>
    </xf>
    <xf numFmtId="49" fontId="15" fillId="36" borderId="81" xfId="0" applyNumberFormat="1" applyFont="1" applyFill="1" applyBorder="1" applyAlignment="1" applyProtection="1">
      <alignment horizontal="center" vertical="center" wrapText="1"/>
      <protection/>
    </xf>
    <xf numFmtId="14" fontId="35" fillId="36" borderId="92" xfId="0" applyNumberFormat="1" applyFont="1" applyFill="1" applyBorder="1" applyAlignment="1" applyProtection="1">
      <alignment horizontal="center" vertical="center"/>
      <protection/>
    </xf>
    <xf numFmtId="14" fontId="35" fillId="36" borderId="90" xfId="0" applyNumberFormat="1" applyFont="1" applyFill="1" applyBorder="1" applyAlignment="1" applyProtection="1">
      <alignment horizontal="center" vertical="center"/>
      <protection/>
    </xf>
    <xf numFmtId="14" fontId="35" fillId="36" borderId="93" xfId="0" applyNumberFormat="1" applyFont="1" applyFill="1" applyBorder="1" applyAlignment="1" applyProtection="1">
      <alignment horizontal="center" vertical="center"/>
      <protection/>
    </xf>
    <xf numFmtId="49" fontId="15" fillId="36" borderId="90" xfId="0" applyNumberFormat="1" applyFont="1" applyFill="1" applyBorder="1" applyAlignment="1" applyProtection="1">
      <alignment horizontal="center" vertical="center" wrapText="1"/>
      <protection/>
    </xf>
    <xf numFmtId="0" fontId="15" fillId="36" borderId="21" xfId="0" applyNumberFormat="1" applyFont="1" applyFill="1" applyBorder="1" applyAlignment="1" applyProtection="1">
      <alignment horizontal="center"/>
      <protection/>
    </xf>
    <xf numFmtId="0" fontId="15" fillId="36" borderId="90" xfId="0" applyNumberFormat="1" applyFont="1" applyFill="1" applyBorder="1" applyAlignment="1" applyProtection="1">
      <alignment horizontal="center"/>
      <protection/>
    </xf>
    <xf numFmtId="0" fontId="15" fillId="36" borderId="89" xfId="0" applyNumberFormat="1" applyFont="1" applyFill="1" applyBorder="1" applyAlignment="1" applyProtection="1">
      <alignment horizontal="center"/>
      <protection/>
    </xf>
    <xf numFmtId="49" fontId="15" fillId="36" borderId="94" xfId="0" applyNumberFormat="1" applyFont="1" applyFill="1" applyBorder="1" applyAlignment="1" applyProtection="1">
      <alignment horizontal="center" vertical="center" wrapText="1"/>
      <protection/>
    </xf>
    <xf numFmtId="49" fontId="15" fillId="36" borderId="95" xfId="0" applyNumberFormat="1" applyFont="1" applyFill="1" applyBorder="1" applyAlignment="1" applyProtection="1">
      <alignment horizontal="center" vertical="center" wrapText="1"/>
      <protection/>
    </xf>
    <xf numFmtId="0" fontId="15" fillId="36" borderId="93" xfId="0" applyNumberFormat="1" applyFont="1" applyFill="1" applyBorder="1" applyAlignment="1" applyProtection="1">
      <alignment horizontal="center"/>
      <protection/>
    </xf>
    <xf numFmtId="49" fontId="15" fillId="36" borderId="96" xfId="0" applyNumberFormat="1" applyFont="1" applyFill="1" applyBorder="1" applyAlignment="1" applyProtection="1">
      <alignment horizontal="center"/>
      <protection/>
    </xf>
    <xf numFmtId="49" fontId="15" fillId="36" borderId="97" xfId="0" applyNumberFormat="1" applyFont="1" applyFill="1" applyBorder="1" applyAlignment="1" applyProtection="1">
      <alignment horizontal="center"/>
      <protection/>
    </xf>
    <xf numFmtId="49" fontId="15" fillId="36" borderId="98" xfId="0" applyNumberFormat="1" applyFont="1" applyFill="1" applyBorder="1" applyAlignment="1" applyProtection="1">
      <alignment horizontal="center"/>
      <protection/>
    </xf>
    <xf numFmtId="0" fontId="15" fillId="36" borderId="99" xfId="0" applyNumberFormat="1" applyFont="1" applyFill="1" applyBorder="1" applyAlignment="1" applyProtection="1">
      <alignment horizontal="center"/>
      <protection/>
    </xf>
    <xf numFmtId="0" fontId="15" fillId="36" borderId="97" xfId="0" applyNumberFormat="1" applyFont="1" applyFill="1" applyBorder="1" applyAlignment="1" applyProtection="1">
      <alignment horizontal="center"/>
      <protection/>
    </xf>
    <xf numFmtId="0" fontId="15" fillId="36" borderId="98" xfId="0" applyNumberFormat="1" applyFont="1" applyFill="1" applyBorder="1" applyAlignment="1" applyProtection="1">
      <alignment horizontal="center"/>
      <protection/>
    </xf>
    <xf numFmtId="49" fontId="15" fillId="36" borderId="99" xfId="0" applyNumberFormat="1" applyFont="1" applyFill="1" applyBorder="1" applyAlignment="1" applyProtection="1">
      <alignment horizontal="center"/>
      <protection/>
    </xf>
    <xf numFmtId="0" fontId="15" fillId="36" borderId="100" xfId="0" applyNumberFormat="1" applyFont="1" applyFill="1" applyBorder="1" applyAlignment="1" applyProtection="1">
      <alignment horizontal="center"/>
      <protection/>
    </xf>
    <xf numFmtId="49" fontId="15" fillId="36" borderId="101" xfId="0" applyNumberFormat="1" applyFont="1" applyFill="1" applyBorder="1" applyAlignment="1" applyProtection="1">
      <alignment horizontal="center"/>
      <protection/>
    </xf>
    <xf numFmtId="49" fontId="35" fillId="36" borderId="0" xfId="0" applyNumberFormat="1" applyFont="1" applyFill="1" applyAlignment="1" applyProtection="1">
      <alignment horizontal="center"/>
      <protection/>
    </xf>
    <xf numFmtId="49" fontId="15" fillId="36" borderId="0" xfId="0" applyNumberFormat="1" applyFont="1" applyFill="1" applyAlignment="1" applyProtection="1">
      <alignment horizontal="center"/>
      <protection/>
    </xf>
    <xf numFmtId="49" fontId="36" fillId="36" borderId="0" xfId="0" applyNumberFormat="1" applyFont="1" applyFill="1" applyAlignment="1" applyProtection="1">
      <alignment horizontal="center"/>
      <protection/>
    </xf>
    <xf numFmtId="49" fontId="9" fillId="36" borderId="102" xfId="0" applyNumberFormat="1" applyFont="1" applyFill="1" applyBorder="1" applyAlignment="1" applyProtection="1">
      <alignment horizontal="center" vertical="center"/>
      <protection/>
    </xf>
    <xf numFmtId="49" fontId="9" fillId="36" borderId="103" xfId="0" applyNumberFormat="1" applyFont="1" applyFill="1" applyBorder="1" applyAlignment="1" applyProtection="1">
      <alignment horizontal="center" vertical="center"/>
      <protection/>
    </xf>
    <xf numFmtId="49" fontId="9" fillId="36" borderId="104" xfId="0" applyNumberFormat="1" applyFont="1" applyFill="1" applyBorder="1" applyAlignment="1" applyProtection="1">
      <alignment horizontal="center" vertical="center"/>
      <protection/>
    </xf>
    <xf numFmtId="0" fontId="17" fillId="36" borderId="105" xfId="0" applyNumberFormat="1" applyFont="1" applyFill="1" applyBorder="1" applyAlignment="1" applyProtection="1">
      <alignment horizontal="center" vertical="center"/>
      <protection/>
    </xf>
    <xf numFmtId="0" fontId="17" fillId="36" borderId="106" xfId="0" applyNumberFormat="1" applyFont="1" applyFill="1" applyBorder="1" applyAlignment="1" applyProtection="1">
      <alignment horizontal="center" vertical="center"/>
      <protection/>
    </xf>
    <xf numFmtId="49" fontId="15" fillId="36" borderId="107" xfId="0" applyNumberFormat="1" applyFont="1" applyFill="1" applyBorder="1" applyAlignment="1" applyProtection="1">
      <alignment horizontal="center" vertical="center" wrapText="1"/>
      <protection/>
    </xf>
    <xf numFmtId="49" fontId="15" fillId="36" borderId="106" xfId="0" applyNumberFormat="1" applyFont="1" applyFill="1" applyBorder="1" applyAlignment="1" applyProtection="1">
      <alignment horizontal="center" vertical="center" wrapText="1"/>
      <protection/>
    </xf>
    <xf numFmtId="0" fontId="35" fillId="36" borderId="108" xfId="0" applyNumberFormat="1" applyFont="1" applyFill="1" applyBorder="1" applyAlignment="1" applyProtection="1">
      <alignment horizontal="center" vertical="center"/>
      <protection/>
    </xf>
    <xf numFmtId="0" fontId="35" fillId="36" borderId="10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92" fillId="0" borderId="0" xfId="0" applyFont="1" applyFill="1" applyAlignment="1" applyProtection="1">
      <alignment horizontal="center" wrapText="1"/>
      <protection hidden="1"/>
    </xf>
    <xf numFmtId="0" fontId="0" fillId="0" borderId="110" xfId="0" applyFont="1" applyFill="1" applyBorder="1" applyAlignment="1" applyProtection="1">
      <alignment/>
      <protection hidden="1"/>
    </xf>
    <xf numFmtId="166" fontId="2" fillId="0" borderId="111" xfId="0" applyNumberFormat="1" applyFont="1" applyFill="1" applyBorder="1" applyAlignment="1" applyProtection="1">
      <alignment horizontal="center"/>
      <protection hidden="1"/>
    </xf>
    <xf numFmtId="166" fontId="2" fillId="0" borderId="112" xfId="0" applyNumberFormat="1" applyFont="1" applyFill="1" applyBorder="1" applyAlignment="1" applyProtection="1">
      <alignment horizontal="center"/>
      <protection hidden="1"/>
    </xf>
    <xf numFmtId="166" fontId="21" fillId="0" borderId="113" xfId="0" applyNumberFormat="1" applyFont="1" applyFill="1" applyBorder="1" applyAlignment="1" applyProtection="1">
      <alignment horizontal="center"/>
      <protection hidden="1"/>
    </xf>
    <xf numFmtId="166" fontId="21" fillId="0" borderId="114" xfId="0" applyNumberFormat="1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/>
      <protection hidden="1"/>
    </xf>
    <xf numFmtId="0" fontId="21" fillId="0" borderId="13" xfId="0" applyFont="1" applyFill="1" applyBorder="1" applyAlignment="1" applyProtection="1">
      <alignment/>
      <protection hidden="1"/>
    </xf>
    <xf numFmtId="166" fontId="21" fillId="0" borderId="115" xfId="0" applyNumberFormat="1" applyFont="1" applyFill="1" applyBorder="1" applyAlignment="1" applyProtection="1">
      <alignment horizontal="center"/>
      <protection hidden="1"/>
    </xf>
    <xf numFmtId="0" fontId="3" fillId="40" borderId="13" xfId="0" applyFont="1" applyFill="1" applyBorder="1" applyAlignment="1" applyProtection="1">
      <alignment/>
      <protection hidden="1"/>
    </xf>
    <xf numFmtId="166" fontId="3" fillId="40" borderId="116" xfId="0" applyNumberFormat="1" applyFont="1" applyFill="1" applyBorder="1" applyAlignment="1" applyProtection="1">
      <alignment horizontal="center"/>
      <protection hidden="1"/>
    </xf>
    <xf numFmtId="166" fontId="0" fillId="40" borderId="117" xfId="0" applyNumberFormat="1" applyFont="1" applyFill="1" applyBorder="1" applyAlignment="1" applyProtection="1">
      <alignment horizontal="center"/>
      <protection hidden="1"/>
    </xf>
    <xf numFmtId="0" fontId="3" fillId="0" borderId="118" xfId="0" applyFont="1" applyFill="1" applyBorder="1" applyAlignment="1" applyProtection="1">
      <alignment horizontal="center" vertical="center" wrapText="1"/>
      <protection hidden="1" locked="0"/>
    </xf>
    <xf numFmtId="0" fontId="3" fillId="0" borderId="89" xfId="0" applyFont="1" applyFill="1" applyBorder="1" applyAlignment="1" applyProtection="1">
      <alignment horizontal="center" vertical="center" wrapText="1"/>
      <protection hidden="1" locked="0"/>
    </xf>
    <xf numFmtId="0" fontId="3" fillId="41" borderId="118" xfId="0" applyFont="1" applyFill="1" applyBorder="1" applyAlignment="1" applyProtection="1">
      <alignment horizontal="center" wrapText="1"/>
      <protection hidden="1"/>
    </xf>
    <xf numFmtId="0" fontId="3" fillId="41" borderId="89" xfId="0" applyFont="1" applyFill="1" applyBorder="1" applyAlignment="1" applyProtection="1">
      <alignment horizontal="center" wrapText="1"/>
      <protection hidden="1"/>
    </xf>
    <xf numFmtId="0" fontId="3" fillId="0" borderId="116" xfId="0" applyFont="1" applyFill="1" applyBorder="1" applyAlignment="1" applyProtection="1">
      <alignment horizontal="center"/>
      <protection hidden="1"/>
    </xf>
    <xf numFmtId="0" fontId="0" fillId="0" borderId="116" xfId="0" applyFont="1" applyFill="1" applyBorder="1" applyAlignment="1" applyProtection="1">
      <alignment horizontal="center"/>
      <protection hidden="1"/>
    </xf>
    <xf numFmtId="0" fontId="0" fillId="0" borderId="119" xfId="0" applyFont="1" applyFill="1" applyBorder="1" applyAlignment="1" applyProtection="1">
      <alignment/>
      <protection hidden="1"/>
    </xf>
    <xf numFmtId="166" fontId="0" fillId="0" borderId="120" xfId="0" applyNumberFormat="1" applyFont="1" applyFill="1" applyBorder="1" applyAlignment="1" applyProtection="1">
      <alignment horizontal="center"/>
      <protection hidden="1"/>
    </xf>
    <xf numFmtId="166" fontId="0" fillId="0" borderId="121" xfId="0" applyNumberFormat="1" applyFont="1" applyFill="1" applyBorder="1" applyAlignment="1" applyProtection="1">
      <alignment horizontal="center"/>
      <protection hidden="1"/>
    </xf>
    <xf numFmtId="0" fontId="0" fillId="41" borderId="122" xfId="0" applyFont="1" applyFill="1" applyBorder="1" applyAlignment="1" applyProtection="1">
      <alignment horizontal="center" vertical="center" shrinkToFit="1"/>
      <protection hidden="1"/>
    </xf>
    <xf numFmtId="0" fontId="0" fillId="41" borderId="123" xfId="0" applyFont="1" applyFill="1" applyBorder="1" applyAlignment="1" applyProtection="1">
      <alignment horizontal="center" vertical="center" shrinkToFit="1"/>
      <protection hidden="1"/>
    </xf>
    <xf numFmtId="0" fontId="0" fillId="0" borderId="124" xfId="0" applyFont="1" applyFill="1" applyBorder="1" applyAlignment="1" applyProtection="1">
      <alignment horizontal="center" vertical="center" shrinkToFit="1"/>
      <protection hidden="1" locked="0"/>
    </xf>
    <xf numFmtId="0" fontId="0" fillId="41" borderId="125" xfId="0" applyFont="1" applyFill="1" applyBorder="1" applyAlignment="1" applyProtection="1">
      <alignment horizontal="center" vertical="center" shrinkToFit="1"/>
      <protection hidden="1"/>
    </xf>
    <xf numFmtId="0" fontId="0" fillId="41" borderId="126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 locked="0"/>
    </xf>
    <xf numFmtId="0" fontId="0" fillId="0" borderId="16" xfId="0" applyFont="1" applyFill="1" applyBorder="1" applyAlignment="1" applyProtection="1">
      <alignment horizontal="center" vertical="center" shrinkToFit="1"/>
      <protection hidden="1" locked="0"/>
    </xf>
    <xf numFmtId="0" fontId="3" fillId="41" borderId="127" xfId="0" applyFont="1" applyFill="1" applyBorder="1" applyAlignment="1" applyProtection="1">
      <alignment horizontal="center" vertical="center" wrapText="1"/>
      <protection hidden="1"/>
    </xf>
    <xf numFmtId="0" fontId="0" fillId="41" borderId="128" xfId="0" applyFont="1" applyFill="1" applyBorder="1" applyAlignment="1" applyProtection="1">
      <alignment horizontal="center" vertical="center" shrinkToFit="1"/>
      <protection hidden="1"/>
    </xf>
    <xf numFmtId="0" fontId="0" fillId="41" borderId="129" xfId="0" applyFont="1" applyFill="1" applyBorder="1" applyAlignment="1" applyProtection="1">
      <alignment horizontal="center" vertical="center" shrinkToFit="1"/>
      <protection hidden="1"/>
    </xf>
    <xf numFmtId="0" fontId="3" fillId="41" borderId="118" xfId="0" applyFont="1" applyFill="1" applyBorder="1" applyAlignment="1" applyProtection="1">
      <alignment horizontal="center" vertical="center" wrapText="1"/>
      <protection hidden="1"/>
    </xf>
    <xf numFmtId="0" fontId="3" fillId="41" borderId="130" xfId="0" applyFont="1" applyFill="1" applyBorder="1" applyAlignment="1" applyProtection="1">
      <alignment horizontal="center" vertical="center" wrapText="1"/>
      <protection hidden="1"/>
    </xf>
    <xf numFmtId="0" fontId="3" fillId="41" borderId="130" xfId="0" applyFont="1" applyFill="1" applyBorder="1" applyAlignment="1" applyProtection="1">
      <alignment horizontal="center" wrapText="1"/>
      <protection hidden="1"/>
    </xf>
    <xf numFmtId="0" fontId="3" fillId="41" borderId="130" xfId="0" applyFont="1" applyFill="1" applyBorder="1" applyAlignment="1" applyProtection="1">
      <alignment horizontal="center"/>
      <protection hidden="1"/>
    </xf>
    <xf numFmtId="0" fontId="96" fillId="0" borderId="90" xfId="0" applyFont="1" applyFill="1" applyBorder="1" applyAlignment="1" applyProtection="1">
      <alignment horizontal="left"/>
      <protection hidden="1"/>
    </xf>
    <xf numFmtId="0" fontId="3" fillId="41" borderId="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18" fillId="40" borderId="20" xfId="0" applyFont="1" applyFill="1" applyBorder="1" applyAlignment="1" applyProtection="1">
      <alignment horizontal="center"/>
      <protection hidden="1" locked="0"/>
    </xf>
    <xf numFmtId="0" fontId="13" fillId="41" borderId="131" xfId="0" applyFont="1" applyFill="1" applyBorder="1" applyAlignment="1" applyProtection="1">
      <alignment horizontal="left" vertical="center"/>
      <protection hidden="1"/>
    </xf>
    <xf numFmtId="0" fontId="13" fillId="0" borderId="132" xfId="0" applyFont="1" applyFill="1" applyBorder="1" applyAlignment="1" applyProtection="1">
      <alignment horizontal="center" vertical="center"/>
      <protection hidden="1" locked="0"/>
    </xf>
    <xf numFmtId="0" fontId="14" fillId="41" borderId="20" xfId="0" applyFont="1" applyFill="1" applyBorder="1" applyAlignment="1" applyProtection="1">
      <alignment horizontal="center" vertical="center"/>
      <protection hidden="1"/>
    </xf>
    <xf numFmtId="9" fontId="16" fillId="40" borderId="2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right"/>
      <protection hidden="1"/>
    </xf>
    <xf numFmtId="0" fontId="13" fillId="41" borderId="20" xfId="0" applyFont="1" applyFill="1" applyBorder="1" applyAlignment="1" applyProtection="1">
      <alignment horizontal="left" vertical="center"/>
      <protection hidden="1"/>
    </xf>
    <xf numFmtId="0" fontId="13" fillId="0" borderId="89" xfId="0" applyFont="1" applyFill="1" applyBorder="1" applyAlignment="1" applyProtection="1">
      <alignment horizontal="left" vertical="center"/>
      <protection hidden="1" locked="0"/>
    </xf>
    <xf numFmtId="0" fontId="14" fillId="41" borderId="20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4" fontId="16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89" xfId="0" applyNumberFormat="1" applyFont="1" applyFill="1" applyBorder="1" applyAlignment="1" applyProtection="1">
      <alignment horizontal="left" vertical="center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38100</xdr:rowOff>
    </xdr:from>
    <xdr:to>
      <xdr:col>31</xdr:col>
      <xdr:colOff>95250</xdr:colOff>
      <xdr:row>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8100"/>
          <a:ext cx="2390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</xdr:row>
      <xdr:rowOff>0</xdr:rowOff>
    </xdr:from>
    <xdr:to>
      <xdr:col>38</xdr:col>
      <xdr:colOff>152400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210050" y="5715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8.7109375" style="0" customWidth="1"/>
    <col min="2" max="2" width="8.57421875" style="0" customWidth="1"/>
    <col min="5" max="5" width="6.421875" style="0" customWidth="1"/>
    <col min="6" max="6" width="6.28125" style="0" customWidth="1"/>
    <col min="7" max="7" width="8.421875" style="0" bestFit="1" customWidth="1"/>
    <col min="8" max="8" width="6.7109375" style="0" customWidth="1"/>
    <col min="9" max="9" width="8.421875" style="0" bestFit="1" customWidth="1"/>
    <col min="10" max="10" width="10.57421875" style="0" bestFit="1" customWidth="1"/>
    <col min="11" max="11" width="10.140625" style="0" customWidth="1"/>
    <col min="12" max="40" width="15.7109375" style="0" customWidth="1"/>
  </cols>
  <sheetData>
    <row r="1" spans="1:11" ht="20.25">
      <c r="A1" s="157"/>
      <c r="B1" s="157"/>
      <c r="C1" s="157"/>
      <c r="D1" s="341" t="s">
        <v>259</v>
      </c>
      <c r="E1" s="341"/>
      <c r="F1" s="341"/>
      <c r="G1" s="342"/>
      <c r="H1" s="343"/>
      <c r="I1" s="343"/>
      <c r="J1" s="343"/>
      <c r="K1" s="343"/>
    </row>
    <row r="2" spans="1:11" ht="18.75" thickBot="1">
      <c r="A2" s="157"/>
      <c r="B2" s="157"/>
      <c r="C2" s="157"/>
      <c r="D2" s="158"/>
      <c r="E2" s="158"/>
      <c r="F2" s="158"/>
      <c r="G2" s="159"/>
      <c r="H2" s="157"/>
      <c r="I2" s="157"/>
      <c r="J2" s="157"/>
      <c r="K2" s="160"/>
    </row>
    <row r="3" spans="1:11" ht="27" customHeight="1">
      <c r="A3" s="161" t="s">
        <v>260</v>
      </c>
      <c r="B3" s="344" t="s">
        <v>282</v>
      </c>
      <c r="C3" s="345"/>
      <c r="D3" s="346"/>
      <c r="E3" s="162" t="s">
        <v>261</v>
      </c>
      <c r="F3" s="347">
        <v>26220679</v>
      </c>
      <c r="G3" s="348"/>
      <c r="H3" s="349" t="s">
        <v>262</v>
      </c>
      <c r="I3" s="350"/>
      <c r="J3" s="351">
        <f>Objednávka!AH6</f>
        <v>0</v>
      </c>
      <c r="K3" s="352"/>
    </row>
    <row r="4" spans="1:11" ht="30" customHeight="1">
      <c r="A4" s="315" t="s">
        <v>10</v>
      </c>
      <c r="B4" s="316"/>
      <c r="C4" s="317">
        <f>Objednávka!AH8</f>
        <v>0</v>
      </c>
      <c r="D4" s="318"/>
      <c r="E4" s="318"/>
      <c r="F4" s="319"/>
      <c r="G4" s="320" t="s">
        <v>263</v>
      </c>
      <c r="H4" s="321"/>
      <c r="I4" s="322"/>
      <c r="J4" s="323"/>
      <c r="K4" s="324"/>
    </row>
    <row r="5" spans="1:11" ht="12.75">
      <c r="A5" s="315" t="s">
        <v>264</v>
      </c>
      <c r="B5" s="325"/>
      <c r="C5" s="316"/>
      <c r="D5" s="326" t="str">
        <f>Objednávka!B16</f>
        <v>D07-R3</v>
      </c>
      <c r="E5" s="327"/>
      <c r="F5" s="328"/>
      <c r="G5" s="329" t="s">
        <v>265</v>
      </c>
      <c r="H5" s="330"/>
      <c r="I5" s="326">
        <f>INDEX(zadani!A2:E170,Objednávka!BC15,4)</f>
        <v>9273</v>
      </c>
      <c r="J5" s="327"/>
      <c r="K5" s="331"/>
    </row>
    <row r="6" spans="1:32" ht="13.5" thickBot="1">
      <c r="A6" s="332" t="s">
        <v>266</v>
      </c>
      <c r="B6" s="333"/>
      <c r="C6" s="334"/>
      <c r="D6" s="335" t="str">
        <f>Objednávka!AA16</f>
        <v>bílá</v>
      </c>
      <c r="E6" s="336"/>
      <c r="F6" s="337"/>
      <c r="G6" s="338" t="s">
        <v>267</v>
      </c>
      <c r="H6" s="334"/>
      <c r="I6" s="335" t="str">
        <f>INDEX(zadani!A2:E170,Objednávka!BC15,5)</f>
        <v>Sněhově bílá              </v>
      </c>
      <c r="J6" s="336"/>
      <c r="K6" s="339"/>
      <c r="L6" t="str">
        <f>Objednávka!L16</f>
        <v>9273 Sněhově bílá              </v>
      </c>
      <c r="AC6" s="188" t="s">
        <v>314</v>
      </c>
      <c r="AE6" s="210"/>
      <c r="AF6" s="212"/>
    </row>
    <row r="7" spans="1:33" ht="36">
      <c r="A7" s="163" t="s">
        <v>268</v>
      </c>
      <c r="B7" s="164" t="s">
        <v>269</v>
      </c>
      <c r="C7" s="164" t="s">
        <v>270</v>
      </c>
      <c r="D7" s="164" t="s">
        <v>271</v>
      </c>
      <c r="E7" s="164" t="s">
        <v>272</v>
      </c>
      <c r="F7" s="165" t="s">
        <v>273</v>
      </c>
      <c r="G7" s="164" t="s">
        <v>274</v>
      </c>
      <c r="H7" s="164" t="s">
        <v>275</v>
      </c>
      <c r="I7" s="164" t="s">
        <v>276</v>
      </c>
      <c r="J7" s="166" t="s">
        <v>277</v>
      </c>
      <c r="K7" s="167" t="s">
        <v>219</v>
      </c>
      <c r="X7" t="s">
        <v>314</v>
      </c>
      <c r="Y7" t="s">
        <v>315</v>
      </c>
      <c r="Z7" t="s">
        <v>316</v>
      </c>
      <c r="AA7" t="s">
        <v>316</v>
      </c>
      <c r="AC7" s="188" t="s">
        <v>26</v>
      </c>
      <c r="AE7" s="210" t="s">
        <v>431</v>
      </c>
      <c r="AF7" s="211" t="s">
        <v>430</v>
      </c>
      <c r="AG7" t="s">
        <v>426</v>
      </c>
    </row>
    <row r="8" spans="1:33" ht="12.75">
      <c r="A8" s="168">
        <f>IF(Objednávka!D19=0," ",Objednávka!D19)</f>
        <v>1000</v>
      </c>
      <c r="B8" s="169">
        <f>IF(Objednávka!I19=0," ",Objednávka!I19)</f>
        <v>1000</v>
      </c>
      <c r="C8" s="169">
        <f>IF(F8="x"," ",IF(A8=" "," ",Objednávka!N19))</f>
        <v>1</v>
      </c>
      <c r="D8" s="169" t="str">
        <f>IF(F8="x",Objednávka!N19," ")</f>
        <v> </v>
      </c>
      <c r="E8" s="169"/>
      <c r="F8" s="171" t="str">
        <f>IF(B8=" ","",IF(Objednávka!R19="plné dveře"," ","x"))</f>
        <v> </v>
      </c>
      <c r="G8" s="171" t="str">
        <f>IF(P8=0," ",P8)</f>
        <v>svis.</v>
      </c>
      <c r="H8" s="169"/>
      <c r="I8" s="169"/>
      <c r="J8" s="170"/>
      <c r="K8" s="187">
        <f>Objednávka!AJ19</f>
        <v>1</v>
      </c>
      <c r="O8" t="e">
        <f>((((A8*B8)*C8)*0.000001+((A8*B8)*D8)*0.000001)+((A8*B8)*E8)*0.000001)</f>
        <v>#VALUE!</v>
      </c>
      <c r="P8" t="str">
        <f>IF(Objednávka!AC19="svislý","svis.",IF(Objednávka!AC19="vodorovný","vod.",))</f>
        <v>svis.</v>
      </c>
      <c r="W8">
        <v>1</v>
      </c>
      <c r="X8" s="209" t="s">
        <v>432</v>
      </c>
      <c r="Y8" s="211">
        <v>10056</v>
      </c>
      <c r="Z8" t="s">
        <v>71</v>
      </c>
      <c r="AA8" t="str">
        <f>Objednávka!L16</f>
        <v>9273 Sněhově bílá              </v>
      </c>
      <c r="AC8" s="188" t="s">
        <v>317</v>
      </c>
      <c r="AE8" s="209" t="s">
        <v>432</v>
      </c>
      <c r="AF8" s="211">
        <v>10056</v>
      </c>
      <c r="AG8" t="s">
        <v>71</v>
      </c>
    </row>
    <row r="9" spans="1:33" ht="12.75">
      <c r="A9" s="168" t="str">
        <f>IF(Objednávka!D20=0," ",Objednávka!D20)</f>
        <v> </v>
      </c>
      <c r="B9" s="169" t="str">
        <f>IF(Objednávka!I20=0," ",Objednávka!I20)</f>
        <v> </v>
      </c>
      <c r="C9" s="169" t="str">
        <f>IF(F9="x"," ",IF(A9=" "," ",Objednávka!N20))</f>
        <v> </v>
      </c>
      <c r="D9" s="169" t="str">
        <f>IF(F9="x",Objednávka!N20," ")</f>
        <v> </v>
      </c>
      <c r="E9" s="169"/>
      <c r="F9" s="171">
        <f>IF(B9=" ","",IF(Objednávka!R20="plné dveře"," ","x"))</f>
      </c>
      <c r="G9" s="171" t="str">
        <f aca="true" t="shared" si="0" ref="G9:G47">IF(P9=0," ",P9)</f>
        <v> </v>
      </c>
      <c r="H9" s="169"/>
      <c r="I9" s="169"/>
      <c r="J9" s="172"/>
      <c r="K9" s="187">
        <f>Objednávka!AJ20</f>
        <v>0</v>
      </c>
      <c r="O9" t="e">
        <f aca="true" t="shared" si="1" ref="O9:O47">((((A9*B9)*C9)*0.000001+((A9*B9)*D9)*0.000001)+((A9*B9)*E9)*0.000001)</f>
        <v>#VALUE!</v>
      </c>
      <c r="P9">
        <f>IF(Objednávka!AC20="svislý","svis.",IF(Objednávka!AC20="vodorovný","vod.",))</f>
        <v>0</v>
      </c>
      <c r="W9">
        <v>1</v>
      </c>
      <c r="X9" s="209" t="s">
        <v>433</v>
      </c>
      <c r="Y9" s="211">
        <v>10083</v>
      </c>
      <c r="Z9" t="s">
        <v>72</v>
      </c>
      <c r="AA9">
        <f>MATCH(AA8,Z8:Z119,0)</f>
        <v>4</v>
      </c>
      <c r="AC9" s="188" t="s">
        <v>318</v>
      </c>
      <c r="AE9" s="209" t="s">
        <v>433</v>
      </c>
      <c r="AF9" s="211">
        <v>10083</v>
      </c>
      <c r="AG9" t="s">
        <v>72</v>
      </c>
    </row>
    <row r="10" spans="1:33" ht="12.75">
      <c r="A10" s="168" t="str">
        <f>IF(Objednávka!D21=0," ",Objednávka!D21)</f>
        <v> </v>
      </c>
      <c r="B10" s="169" t="str">
        <f>IF(Objednávka!I21=0," ",Objednávka!I21)</f>
        <v> </v>
      </c>
      <c r="C10" s="169" t="str">
        <f>IF(F10="x"," ",IF(A10=" "," ",Objednávka!N21))</f>
        <v> </v>
      </c>
      <c r="D10" s="169" t="str">
        <f>IF(F10="x",Objednávka!N21," ")</f>
        <v> </v>
      </c>
      <c r="E10" s="169"/>
      <c r="F10" s="171">
        <f>IF(B10=" ","",IF(Objednávka!R21="plné dveře"," ","x"))</f>
      </c>
      <c r="G10" s="171" t="str">
        <f t="shared" si="0"/>
        <v> </v>
      </c>
      <c r="H10" s="169"/>
      <c r="I10" s="169"/>
      <c r="J10" s="170"/>
      <c r="K10" s="187">
        <f>Objednávka!AJ21</f>
        <v>0</v>
      </c>
      <c r="O10" t="e">
        <f t="shared" si="1"/>
        <v>#VALUE!</v>
      </c>
      <c r="P10">
        <f>IF(Objednávka!AC21="svislý","svis.",IF(Objednávka!AC21="vodorovný","vod.",))</f>
        <v>0</v>
      </c>
      <c r="W10">
        <v>1</v>
      </c>
      <c r="X10" s="209" t="s">
        <v>434</v>
      </c>
      <c r="Y10" s="211">
        <v>11015</v>
      </c>
      <c r="Z10" t="s">
        <v>334</v>
      </c>
      <c r="AC10" s="188" t="s">
        <v>319</v>
      </c>
      <c r="AE10" s="209" t="s">
        <v>434</v>
      </c>
      <c r="AF10" s="211">
        <v>11015</v>
      </c>
      <c r="AG10" t="s">
        <v>334</v>
      </c>
    </row>
    <row r="11" spans="1:33" ht="12.75">
      <c r="A11" s="168" t="str">
        <f>IF(Objednávka!D22=0," ",Objednávka!D22)</f>
        <v> </v>
      </c>
      <c r="B11" s="169" t="str">
        <f>IF(Objednávka!I22=0," ",Objednávka!I22)</f>
        <v> </v>
      </c>
      <c r="C11" s="169" t="str">
        <f>IF(F11="x"," ",IF(A11=" "," ",Objednávka!N22))</f>
        <v> </v>
      </c>
      <c r="D11" s="169" t="str">
        <f>IF(F11="x",Objednávka!N22," ")</f>
        <v> </v>
      </c>
      <c r="E11" s="169"/>
      <c r="F11" s="171">
        <f>IF(B11=" ","",IF(Objednávka!R22="plné dveře"," ","x"))</f>
      </c>
      <c r="G11" s="171" t="str">
        <f t="shared" si="0"/>
        <v> </v>
      </c>
      <c r="H11" s="169"/>
      <c r="I11" s="169"/>
      <c r="J11" s="170"/>
      <c r="K11" s="187">
        <f>Objednávka!AJ22</f>
        <v>0</v>
      </c>
      <c r="O11" t="e">
        <f t="shared" si="1"/>
        <v>#VALUE!</v>
      </c>
      <c r="P11">
        <f>IF(Objednávka!AC22="svislý","svis.",IF(Objednávka!AC22="vodorovný","vod.",))</f>
        <v>0</v>
      </c>
      <c r="W11">
        <v>1</v>
      </c>
      <c r="X11" s="209" t="s">
        <v>435</v>
      </c>
      <c r="Y11" s="211">
        <v>9273</v>
      </c>
      <c r="Z11" t="s">
        <v>335</v>
      </c>
      <c r="AC11" s="188" t="s">
        <v>320</v>
      </c>
      <c r="AE11" s="209" t="s">
        <v>435</v>
      </c>
      <c r="AF11" s="211">
        <v>9273</v>
      </c>
      <c r="AG11" t="s">
        <v>335</v>
      </c>
    </row>
    <row r="12" spans="1:33" ht="12.75">
      <c r="A12" s="168" t="str">
        <f>IF(Objednávka!D23=0," ",Objednávka!D23)</f>
        <v> </v>
      </c>
      <c r="B12" s="169" t="str">
        <f>IF(Objednávka!I23=0," ",Objednávka!I23)</f>
        <v> </v>
      </c>
      <c r="C12" s="169" t="str">
        <f>IF(F12="x"," ",IF(A12=" "," ",Objednávka!N23))</f>
        <v> </v>
      </c>
      <c r="D12" s="169" t="str">
        <f>IF(F12="x",Objednávka!N23," ")</f>
        <v> </v>
      </c>
      <c r="E12" s="169"/>
      <c r="F12" s="171">
        <f>IF(B12=" ","",IF(Objednávka!R23="plné dveře"," ","x"))</f>
      </c>
      <c r="G12" s="171" t="str">
        <f t="shared" si="0"/>
        <v> </v>
      </c>
      <c r="H12" s="169"/>
      <c r="I12" s="169"/>
      <c r="J12" s="172"/>
      <c r="K12" s="187">
        <f>Objednávka!AJ23</f>
        <v>0</v>
      </c>
      <c r="O12" t="e">
        <f t="shared" si="1"/>
        <v>#VALUE!</v>
      </c>
      <c r="P12">
        <f>IF(Objednávka!AC23="svislý","svis.",IF(Objednávka!AC23="vodorovný","vod.",))</f>
        <v>0</v>
      </c>
      <c r="W12">
        <v>1</v>
      </c>
      <c r="X12" s="209" t="s">
        <v>436</v>
      </c>
      <c r="Y12" s="211" t="s">
        <v>312</v>
      </c>
      <c r="Z12" t="s">
        <v>73</v>
      </c>
      <c r="AC12" s="188" t="s">
        <v>321</v>
      </c>
      <c r="AE12" s="209" t="s">
        <v>436</v>
      </c>
      <c r="AF12" s="211" t="s">
        <v>312</v>
      </c>
      <c r="AG12" t="s">
        <v>73</v>
      </c>
    </row>
    <row r="13" spans="1:33" ht="12.75">
      <c r="A13" s="168" t="str">
        <f>IF(Objednávka!D24=0," ",Objednávka!D24)</f>
        <v> </v>
      </c>
      <c r="B13" s="169" t="str">
        <f>IF(Objednávka!I24=0," ",Objednávka!I24)</f>
        <v> </v>
      </c>
      <c r="C13" s="169" t="str">
        <f>IF(F13="x"," ",IF(A13=" "," ",Objednávka!N24))</f>
        <v> </v>
      </c>
      <c r="D13" s="169" t="str">
        <f>IF(F13="x",Objednávka!N24," ")</f>
        <v> </v>
      </c>
      <c r="E13" s="169"/>
      <c r="F13" s="171">
        <f>IF(B13=" ","",IF(Objednávka!R24="plné dveře"," ","x"))</f>
      </c>
      <c r="G13" s="171" t="str">
        <f t="shared" si="0"/>
        <v> </v>
      </c>
      <c r="H13" s="169"/>
      <c r="I13" s="169"/>
      <c r="J13" s="170"/>
      <c r="K13" s="187">
        <f>Objednávka!AJ24</f>
        <v>0</v>
      </c>
      <c r="O13" t="e">
        <f t="shared" si="1"/>
        <v>#VALUE!</v>
      </c>
      <c r="P13">
        <f>IF(Objednávka!AC24="svislý","svis.",IF(Objednávka!AC24="vodorovný","vod.",))</f>
        <v>0</v>
      </c>
      <c r="W13">
        <v>1</v>
      </c>
      <c r="X13" s="209" t="s">
        <v>437</v>
      </c>
      <c r="Y13" s="211" t="s">
        <v>295</v>
      </c>
      <c r="Z13" t="s">
        <v>74</v>
      </c>
      <c r="AC13" s="188" t="s">
        <v>322</v>
      </c>
      <c r="AE13" s="209" t="s">
        <v>437</v>
      </c>
      <c r="AF13" s="211" t="s">
        <v>295</v>
      </c>
      <c r="AG13" t="s">
        <v>74</v>
      </c>
    </row>
    <row r="14" spans="1:33" ht="12.75">
      <c r="A14" s="168" t="str">
        <f>IF(Objednávka!D25=0," ",Objednávka!D25)</f>
        <v> </v>
      </c>
      <c r="B14" s="169" t="str">
        <f>IF(Objednávka!I25=0," ",Objednávka!I25)</f>
        <v> </v>
      </c>
      <c r="C14" s="169" t="str">
        <f>IF(F14="x"," ",IF(A14=" "," ",Objednávka!N25))</f>
        <v> </v>
      </c>
      <c r="D14" s="169" t="str">
        <f>IF(F14="x",Objednávka!N25," ")</f>
        <v> </v>
      </c>
      <c r="E14" s="169"/>
      <c r="F14" s="171">
        <f>IF(B14=" ","",IF(Objednávka!R25="plné dveře"," ","x"))</f>
      </c>
      <c r="G14" s="171" t="str">
        <f t="shared" si="0"/>
        <v> </v>
      </c>
      <c r="H14" s="169"/>
      <c r="I14" s="169"/>
      <c r="J14" s="170"/>
      <c r="K14" s="187">
        <f>Objednávka!AJ25</f>
        <v>0</v>
      </c>
      <c r="O14" t="e">
        <f t="shared" si="1"/>
        <v>#VALUE!</v>
      </c>
      <c r="P14">
        <f>IF(Objednávka!AC25="svislý","svis.",IF(Objednávka!AC25="vodorovný","vod.",))</f>
        <v>0</v>
      </c>
      <c r="W14">
        <v>1</v>
      </c>
      <c r="X14" s="209" t="s">
        <v>438</v>
      </c>
      <c r="Y14" s="211" t="s">
        <v>305</v>
      </c>
      <c r="Z14" t="s">
        <v>336</v>
      </c>
      <c r="AC14" s="188" t="s">
        <v>323</v>
      </c>
      <c r="AE14" s="209" t="s">
        <v>438</v>
      </c>
      <c r="AF14" s="211" t="s">
        <v>305</v>
      </c>
      <c r="AG14" t="s">
        <v>336</v>
      </c>
    </row>
    <row r="15" spans="1:33" ht="12.75">
      <c r="A15" s="168" t="str">
        <f>IF(Objednávka!D26=0," ",Objednávka!D26)</f>
        <v> </v>
      </c>
      <c r="B15" s="169" t="str">
        <f>IF(Objednávka!I26=0," ",Objednávka!I26)</f>
        <v> </v>
      </c>
      <c r="C15" s="169" t="str">
        <f>IF(F15="x"," ",IF(A15=" "," ",Objednávka!N26))</f>
        <v> </v>
      </c>
      <c r="D15" s="169" t="str">
        <f>IF(F15="x",Objednávka!N26," ")</f>
        <v> </v>
      </c>
      <c r="E15" s="169"/>
      <c r="F15" s="171">
        <f>IF(B15=" ","",IF(Objednávka!R26="plné dveře"," ","x"))</f>
      </c>
      <c r="G15" s="171" t="str">
        <f t="shared" si="0"/>
        <v> </v>
      </c>
      <c r="H15" s="169"/>
      <c r="I15" s="169"/>
      <c r="J15" s="172"/>
      <c r="K15" s="187">
        <f>Objednávka!AJ26</f>
        <v>0</v>
      </c>
      <c r="O15" t="e">
        <f t="shared" si="1"/>
        <v>#VALUE!</v>
      </c>
      <c r="P15">
        <f>IF(Objednávka!AC26="svislý","svis.",IF(Objednávka!AC26="vodorovný","vod.",))</f>
        <v>0</v>
      </c>
      <c r="W15">
        <v>1</v>
      </c>
      <c r="X15" s="209" t="s">
        <v>439</v>
      </c>
      <c r="Y15" s="211" t="s">
        <v>299</v>
      </c>
      <c r="Z15" t="s">
        <v>337</v>
      </c>
      <c r="AC15" s="188" t="s">
        <v>324</v>
      </c>
      <c r="AE15" s="209" t="s">
        <v>439</v>
      </c>
      <c r="AF15" s="211" t="s">
        <v>299</v>
      </c>
      <c r="AG15" t="s">
        <v>337</v>
      </c>
    </row>
    <row r="16" spans="1:33" ht="12.75">
      <c r="A16" s="168" t="str">
        <f>IF(Objednávka!D27=0," ",Objednávka!D27)</f>
        <v> </v>
      </c>
      <c r="B16" s="169" t="str">
        <f>IF(Objednávka!I27=0," ",Objednávka!I27)</f>
        <v> </v>
      </c>
      <c r="C16" s="169" t="str">
        <f>IF(F16="x"," ",IF(A16=" "," ",Objednávka!N27))</f>
        <v> </v>
      </c>
      <c r="D16" s="169" t="str">
        <f>IF(F16="x",Objednávka!N27," ")</f>
        <v> </v>
      </c>
      <c r="E16" s="169"/>
      <c r="F16" s="171">
        <f>IF(B16=" ","",IF(Objednávka!R27="plné dveře"," ","x"))</f>
      </c>
      <c r="G16" s="171" t="str">
        <f t="shared" si="0"/>
        <v> </v>
      </c>
      <c r="H16" s="169"/>
      <c r="I16" s="169"/>
      <c r="J16" s="170"/>
      <c r="K16" s="187">
        <f>Objednávka!AJ27</f>
        <v>0</v>
      </c>
      <c r="O16" t="e">
        <f t="shared" si="1"/>
        <v>#VALUE!</v>
      </c>
      <c r="P16">
        <f>IF(Objednávka!AC27="svislý","svis.",IF(Objednávka!AC27="vodorovný","vod.",))</f>
        <v>0</v>
      </c>
      <c r="W16">
        <v>1</v>
      </c>
      <c r="X16" s="209" t="s">
        <v>440</v>
      </c>
      <c r="Y16" s="211" t="s">
        <v>307</v>
      </c>
      <c r="Z16" t="s">
        <v>338</v>
      </c>
      <c r="AC16" s="188" t="s">
        <v>325</v>
      </c>
      <c r="AE16" s="209" t="s">
        <v>440</v>
      </c>
      <c r="AF16" s="211" t="s">
        <v>307</v>
      </c>
      <c r="AG16" t="s">
        <v>338</v>
      </c>
    </row>
    <row r="17" spans="1:33" ht="12.75">
      <c r="A17" s="168" t="str">
        <f>IF(Objednávka!D28=0," ",Objednávka!D28)</f>
        <v> </v>
      </c>
      <c r="B17" s="169" t="str">
        <f>IF(Objednávka!I28=0," ",Objednávka!I28)</f>
        <v> </v>
      </c>
      <c r="C17" s="169" t="str">
        <f>IF(F17="x"," ",IF(A17=" "," ",Objednávka!N28))</f>
        <v> </v>
      </c>
      <c r="D17" s="169" t="str">
        <f>IF(F17="x",Objednávka!N28," ")</f>
        <v> </v>
      </c>
      <c r="E17" s="169"/>
      <c r="F17" s="171">
        <f>IF(B17=" ","",IF(Objednávka!R28="plné dveře"," ","x"))</f>
      </c>
      <c r="G17" s="171" t="str">
        <f t="shared" si="0"/>
        <v> </v>
      </c>
      <c r="H17" s="169"/>
      <c r="I17" s="169"/>
      <c r="J17" s="170"/>
      <c r="K17" s="187">
        <f>Objednávka!AJ28</f>
        <v>0</v>
      </c>
      <c r="O17" t="e">
        <f t="shared" si="1"/>
        <v>#VALUE!</v>
      </c>
      <c r="P17">
        <f>IF(Objednávka!AC28="svislý","svis.",IF(Objednávka!AC28="vodorovný","vod.",))</f>
        <v>0</v>
      </c>
      <c r="W17">
        <v>1</v>
      </c>
      <c r="X17" s="209" t="s">
        <v>441</v>
      </c>
      <c r="Y17" s="211" t="s">
        <v>306</v>
      </c>
      <c r="Z17" t="s">
        <v>339</v>
      </c>
      <c r="AC17" s="188" t="s">
        <v>326</v>
      </c>
      <c r="AE17" s="209" t="s">
        <v>441</v>
      </c>
      <c r="AF17" s="211" t="s">
        <v>306</v>
      </c>
      <c r="AG17" t="s">
        <v>339</v>
      </c>
    </row>
    <row r="18" spans="1:33" ht="12.75">
      <c r="A18" s="168" t="str">
        <f>IF(Objednávka!D29=0," ",Objednávka!D29)</f>
        <v> </v>
      </c>
      <c r="B18" s="169" t="str">
        <f>IF(Objednávka!I29=0," ",Objednávka!I29)</f>
        <v> </v>
      </c>
      <c r="C18" s="169" t="str">
        <f>IF(F18="x"," ",IF(A18=" "," ",Objednávka!N29))</f>
        <v> </v>
      </c>
      <c r="D18" s="169" t="str">
        <f>IF(F18="x",Objednávka!N29," ")</f>
        <v> </v>
      </c>
      <c r="E18" s="169"/>
      <c r="F18" s="171">
        <f>IF(B18=" ","",IF(Objednávka!R29="plné dveře"," ","x"))</f>
      </c>
      <c r="G18" s="171" t="str">
        <f t="shared" si="0"/>
        <v> </v>
      </c>
      <c r="H18" s="169"/>
      <c r="I18" s="169"/>
      <c r="J18" s="172"/>
      <c r="K18" s="187">
        <f>Objednávka!AJ29</f>
        <v>0</v>
      </c>
      <c r="O18" t="e">
        <f t="shared" si="1"/>
        <v>#VALUE!</v>
      </c>
      <c r="P18">
        <f>IF(Objednávka!AC29="svislý","svis.",IF(Objednávka!AC29="vodorovný","vod.",))</f>
        <v>0</v>
      </c>
      <c r="W18">
        <v>1</v>
      </c>
      <c r="X18" s="209" t="s">
        <v>442</v>
      </c>
      <c r="Y18" s="213" t="s">
        <v>327</v>
      </c>
      <c r="Z18" t="s">
        <v>340</v>
      </c>
      <c r="AE18" s="209" t="s">
        <v>442</v>
      </c>
      <c r="AF18" s="213" t="s">
        <v>327</v>
      </c>
      <c r="AG18" t="s">
        <v>340</v>
      </c>
    </row>
    <row r="19" spans="1:33" ht="12.75">
      <c r="A19" s="168" t="str">
        <f>IF(Objednávka!D30=0," ",Objednávka!D30)</f>
        <v> </v>
      </c>
      <c r="B19" s="169" t="str">
        <f>IF(Objednávka!I30=0," ",Objednávka!I30)</f>
        <v> </v>
      </c>
      <c r="C19" s="169" t="str">
        <f>IF(F19="x"," ",IF(A19=" "," ",Objednávka!N30))</f>
        <v> </v>
      </c>
      <c r="D19" s="169" t="str">
        <f>IF(F19="x",Objednávka!N30," ")</f>
        <v> </v>
      </c>
      <c r="E19" s="169"/>
      <c r="F19" s="171">
        <f>IF(B19=" ","",IF(Objednávka!R30="plné dveře"," ","x"))</f>
      </c>
      <c r="G19" s="171" t="str">
        <f t="shared" si="0"/>
        <v> </v>
      </c>
      <c r="H19" s="169"/>
      <c r="I19" s="169"/>
      <c r="J19" s="170"/>
      <c r="K19" s="187">
        <f>Objednávka!AJ30</f>
        <v>0</v>
      </c>
      <c r="O19" t="e">
        <f t="shared" si="1"/>
        <v>#VALUE!</v>
      </c>
      <c r="P19">
        <f>IF(Objednávka!AC30="svislý","svis.",IF(Objednávka!AC30="vodorovný","vod.",))</f>
        <v>0</v>
      </c>
      <c r="W19">
        <v>1</v>
      </c>
      <c r="X19" s="209" t="s">
        <v>444</v>
      </c>
      <c r="Y19" s="213" t="s">
        <v>443</v>
      </c>
      <c r="Z19" t="s">
        <v>341</v>
      </c>
      <c r="AE19" s="209" t="s">
        <v>444</v>
      </c>
      <c r="AF19" s="213" t="s">
        <v>443</v>
      </c>
      <c r="AG19" t="s">
        <v>341</v>
      </c>
    </row>
    <row r="20" spans="1:33" ht="12.75">
      <c r="A20" s="168" t="str">
        <f>IF(Objednávka!D31=0," ",Objednávka!D31)</f>
        <v> </v>
      </c>
      <c r="B20" s="169" t="str">
        <f>IF(Objednávka!I31=0," ",Objednávka!I31)</f>
        <v> </v>
      </c>
      <c r="C20" s="169" t="str">
        <f>IF(F20="x"," ",IF(A20=" "," ",Objednávka!N31))</f>
        <v> </v>
      </c>
      <c r="D20" s="169" t="str">
        <f>IF(F20="x",Objednávka!N31," ")</f>
        <v> </v>
      </c>
      <c r="E20" s="169"/>
      <c r="F20" s="171">
        <f>IF(B20=" ","",IF(Objednávka!R31="plné dveře"," ","x"))</f>
      </c>
      <c r="G20" s="171" t="str">
        <f t="shared" si="0"/>
        <v> </v>
      </c>
      <c r="H20" s="169"/>
      <c r="I20" s="169"/>
      <c r="J20" s="170"/>
      <c r="K20" s="187">
        <f>Objednávka!AJ31</f>
        <v>0</v>
      </c>
      <c r="O20" t="e">
        <f t="shared" si="1"/>
        <v>#VALUE!</v>
      </c>
      <c r="P20">
        <f>IF(Objednávka!AC31="svislý","svis.",IF(Objednávka!AC31="vodorovný","vod.",))</f>
        <v>0</v>
      </c>
      <c r="W20">
        <v>1</v>
      </c>
      <c r="X20" s="209" t="s">
        <v>445</v>
      </c>
      <c r="Y20" s="213" t="s">
        <v>308</v>
      </c>
      <c r="Z20" t="s">
        <v>342</v>
      </c>
      <c r="AE20" s="209" t="s">
        <v>445</v>
      </c>
      <c r="AF20" s="213" t="s">
        <v>308</v>
      </c>
      <c r="AG20" t="s">
        <v>342</v>
      </c>
    </row>
    <row r="21" spans="1:33" ht="12.75">
      <c r="A21" s="168" t="str">
        <f>IF(Objednávka!D32=0," ",Objednávka!D32)</f>
        <v> </v>
      </c>
      <c r="B21" s="169" t="str">
        <f>IF(Objednávka!I32=0," ",Objednávka!I32)</f>
        <v> </v>
      </c>
      <c r="C21" s="169" t="str">
        <f>IF(F21="x"," ",IF(A21=" "," ",Objednávka!N32))</f>
        <v> </v>
      </c>
      <c r="D21" s="169" t="str">
        <f>IF(F21="x",Objednávka!N32," ")</f>
        <v> </v>
      </c>
      <c r="E21" s="169"/>
      <c r="F21" s="171">
        <f>IF(B21=" ","",IF(Objednávka!R32="plné dveře"," ","x"))</f>
      </c>
      <c r="G21" s="171" t="str">
        <f t="shared" si="0"/>
        <v> </v>
      </c>
      <c r="H21" s="169"/>
      <c r="I21" s="169"/>
      <c r="J21" s="170"/>
      <c r="K21" s="187">
        <f>Objednávka!AJ32</f>
        <v>0</v>
      </c>
      <c r="O21" t="e">
        <f t="shared" si="1"/>
        <v>#VALUE!</v>
      </c>
      <c r="P21">
        <f>IF(Objednávka!AC32="svislý","svis.",IF(Objednávka!AC32="vodorovný","vod.",))</f>
        <v>0</v>
      </c>
      <c r="W21">
        <v>1</v>
      </c>
      <c r="X21" s="209" t="s">
        <v>446</v>
      </c>
      <c r="Y21" s="213" t="s">
        <v>298</v>
      </c>
      <c r="Z21" t="s">
        <v>343</v>
      </c>
      <c r="AE21" s="209" t="s">
        <v>446</v>
      </c>
      <c r="AF21" s="213" t="s">
        <v>298</v>
      </c>
      <c r="AG21" t="s">
        <v>343</v>
      </c>
    </row>
    <row r="22" spans="1:33" ht="12.75">
      <c r="A22" s="168" t="str">
        <f>IF(Objednávka!D33=0," ",Objednávka!D33)</f>
        <v> </v>
      </c>
      <c r="B22" s="169" t="str">
        <f>IF(Objednávka!I33=0," ",Objednávka!I33)</f>
        <v> </v>
      </c>
      <c r="C22" s="169" t="str">
        <f>IF(F22="x"," ",IF(A22=" "," ",Objednávka!N33))</f>
        <v> </v>
      </c>
      <c r="D22" s="169" t="str">
        <f>IF(F22="x",Objednávka!N33," ")</f>
        <v> </v>
      </c>
      <c r="E22" s="169"/>
      <c r="F22" s="171">
        <f>IF(B22=" ","",IF(Objednávka!R33="plné dveře"," ","x"))</f>
      </c>
      <c r="G22" s="171" t="str">
        <f t="shared" si="0"/>
        <v> </v>
      </c>
      <c r="H22" s="169"/>
      <c r="I22" s="169"/>
      <c r="J22" s="170"/>
      <c r="K22" s="187">
        <f>Objednávka!AJ33</f>
        <v>0</v>
      </c>
      <c r="O22" t="e">
        <f t="shared" si="1"/>
        <v>#VALUE!</v>
      </c>
      <c r="P22">
        <f>IF(Objednávka!AC33="svislý","svis.",IF(Objednávka!AC33="vodorovný","vod.",))</f>
        <v>0</v>
      </c>
      <c r="W22">
        <v>1</v>
      </c>
      <c r="X22" s="209" t="s">
        <v>447</v>
      </c>
      <c r="Y22" s="213" t="s">
        <v>297</v>
      </c>
      <c r="Z22" t="s">
        <v>75</v>
      </c>
      <c r="AE22" s="209" t="s">
        <v>447</v>
      </c>
      <c r="AF22" s="213" t="s">
        <v>297</v>
      </c>
      <c r="AG22" t="s">
        <v>75</v>
      </c>
    </row>
    <row r="23" spans="1:33" ht="12.75">
      <c r="A23" s="168" t="str">
        <f>IF(Objednávka!D34=0," ",Objednávka!D34)</f>
        <v> </v>
      </c>
      <c r="B23" s="169" t="str">
        <f>IF(Objednávka!I34=0," ",Objednávka!I34)</f>
        <v> </v>
      </c>
      <c r="C23" s="169" t="str">
        <f>IF(F23="x"," ",IF(A23=" "," ",Objednávka!N34))</f>
        <v> </v>
      </c>
      <c r="D23" s="169" t="str">
        <f>IF(F23="x",Objednávka!N34," ")</f>
        <v> </v>
      </c>
      <c r="E23" s="169"/>
      <c r="F23" s="171">
        <f>IF(B23=" ","",IF(Objednávka!R34="plné dveře"," ","x"))</f>
      </c>
      <c r="G23" s="171" t="str">
        <f t="shared" si="0"/>
        <v> </v>
      </c>
      <c r="H23" s="169"/>
      <c r="I23" s="169"/>
      <c r="J23" s="170"/>
      <c r="K23" s="187">
        <f>Objednávka!AJ34</f>
        <v>0</v>
      </c>
      <c r="O23" t="e">
        <f t="shared" si="1"/>
        <v>#VALUE!</v>
      </c>
      <c r="P23">
        <f>IF(Objednávka!AC34="svislý","svis.",IF(Objednávka!AC34="vodorovný","vod.",))</f>
        <v>0</v>
      </c>
      <c r="W23">
        <v>1</v>
      </c>
      <c r="X23" s="209" t="s">
        <v>449</v>
      </c>
      <c r="Y23" s="213" t="s">
        <v>448</v>
      </c>
      <c r="Z23" t="s">
        <v>344</v>
      </c>
      <c r="AE23" s="209" t="s">
        <v>449</v>
      </c>
      <c r="AF23" s="213" t="s">
        <v>448</v>
      </c>
      <c r="AG23" t="s">
        <v>344</v>
      </c>
    </row>
    <row r="24" spans="1:33" ht="12.75">
      <c r="A24" s="168" t="str">
        <f>IF(Objednávka!D35=0," ",Objednávka!D35)</f>
        <v> </v>
      </c>
      <c r="B24" s="169" t="str">
        <f>IF(Objednávka!I35=0," ",Objednávka!I35)</f>
        <v> </v>
      </c>
      <c r="C24" s="169" t="str">
        <f>IF(F24="x"," ",IF(A24=" "," ",Objednávka!N35))</f>
        <v> </v>
      </c>
      <c r="D24" s="169" t="str">
        <f>IF(F24="x",Objednávka!N35," ")</f>
        <v> </v>
      </c>
      <c r="E24" s="169"/>
      <c r="F24" s="171">
        <f>IF(B24=" ","",IF(Objednávka!R35="plné dveře"," ","x"))</f>
      </c>
      <c r="G24" s="171" t="str">
        <f t="shared" si="0"/>
        <v> </v>
      </c>
      <c r="H24" s="169"/>
      <c r="I24" s="169"/>
      <c r="J24" s="170"/>
      <c r="K24" s="187">
        <f>Objednávka!AJ35</f>
        <v>0</v>
      </c>
      <c r="O24" t="e">
        <f t="shared" si="1"/>
        <v>#VALUE!</v>
      </c>
      <c r="P24">
        <f>IF(Objednávka!AC35="svislý","svis.",IF(Objednávka!AC35="vodorovný","vod.",))</f>
        <v>0</v>
      </c>
      <c r="W24">
        <v>1</v>
      </c>
      <c r="X24" s="209" t="s">
        <v>451</v>
      </c>
      <c r="Y24" s="213" t="s">
        <v>450</v>
      </c>
      <c r="Z24" t="s">
        <v>345</v>
      </c>
      <c r="AE24" s="209" t="s">
        <v>451</v>
      </c>
      <c r="AF24" s="213" t="s">
        <v>450</v>
      </c>
      <c r="AG24" t="s">
        <v>345</v>
      </c>
    </row>
    <row r="25" spans="1:33" ht="12.75">
      <c r="A25" s="168" t="str">
        <f>IF(Objednávka!D36=0," ",Objednávka!D36)</f>
        <v> </v>
      </c>
      <c r="B25" s="169" t="str">
        <f>IF(Objednávka!I36=0," ",Objednávka!I36)</f>
        <v> </v>
      </c>
      <c r="C25" s="169" t="str">
        <f>IF(F25="x"," ",IF(A25=" "," ",Objednávka!N36))</f>
        <v> </v>
      </c>
      <c r="D25" s="169" t="str">
        <f>IF(F25="x",Objednávka!N36," ")</f>
        <v> </v>
      </c>
      <c r="E25" s="169"/>
      <c r="F25" s="171">
        <f>IF(B25=" ","",IF(Objednávka!R36="plné dveře"," ","x"))</f>
      </c>
      <c r="G25" s="171" t="str">
        <f t="shared" si="0"/>
        <v> </v>
      </c>
      <c r="H25" s="169"/>
      <c r="I25" s="169"/>
      <c r="J25" s="170"/>
      <c r="K25" s="187">
        <f>Objednávka!AJ36</f>
        <v>0</v>
      </c>
      <c r="O25" t="e">
        <f t="shared" si="1"/>
        <v>#VALUE!</v>
      </c>
      <c r="P25">
        <f>IF(Objednávka!AC36="svislý","svis.",IF(Objednávka!AC36="vodorovný","vod.",))</f>
        <v>0</v>
      </c>
      <c r="W25">
        <v>1</v>
      </c>
      <c r="X25" s="209" t="s">
        <v>453</v>
      </c>
      <c r="Y25" s="213" t="s">
        <v>452</v>
      </c>
      <c r="Z25" t="s">
        <v>346</v>
      </c>
      <c r="AE25" s="209" t="s">
        <v>453</v>
      </c>
      <c r="AF25" s="213" t="s">
        <v>452</v>
      </c>
      <c r="AG25" t="s">
        <v>346</v>
      </c>
    </row>
    <row r="26" spans="1:33" ht="12.75">
      <c r="A26" s="168" t="str">
        <f>IF(Objednávka!D37=0," ",Objednávka!D37)</f>
        <v> </v>
      </c>
      <c r="B26" s="169" t="str">
        <f>IF(Objednávka!I37=0," ",Objednávka!I37)</f>
        <v> </v>
      </c>
      <c r="C26" s="169" t="str">
        <f>IF(F26="x"," ",IF(A26=" "," ",Objednávka!N37))</f>
        <v> </v>
      </c>
      <c r="D26" s="169" t="str">
        <f>IF(F26="x",Objednávka!N37," ")</f>
        <v> </v>
      </c>
      <c r="E26" s="169"/>
      <c r="F26" s="171">
        <f>IF(B26=" ","",IF(Objednávka!R37="plné dveře"," ","x"))</f>
      </c>
      <c r="G26" s="171" t="str">
        <f t="shared" si="0"/>
        <v> </v>
      </c>
      <c r="H26" s="169"/>
      <c r="I26" s="169"/>
      <c r="J26" s="170"/>
      <c r="K26" s="187">
        <f>Objednávka!AJ37</f>
        <v>0</v>
      </c>
      <c r="O26" t="e">
        <f t="shared" si="1"/>
        <v>#VALUE!</v>
      </c>
      <c r="P26">
        <f>IF(Objednávka!AC37="svislý","svis.",IF(Objednávka!AC37="vodorovný","vod.",))</f>
        <v>0</v>
      </c>
      <c r="W26">
        <v>1</v>
      </c>
      <c r="X26" s="209" t="s">
        <v>455</v>
      </c>
      <c r="Y26" s="213" t="s">
        <v>454</v>
      </c>
      <c r="Z26" t="s">
        <v>347</v>
      </c>
      <c r="AE26" s="209" t="s">
        <v>455</v>
      </c>
      <c r="AF26" s="213" t="s">
        <v>454</v>
      </c>
      <c r="AG26" t="s">
        <v>347</v>
      </c>
    </row>
    <row r="27" spans="1:33" ht="12.75">
      <c r="A27" s="168" t="str">
        <f>IF(Objednávka!D38=0," ",Objednávka!D38)</f>
        <v> </v>
      </c>
      <c r="B27" s="169" t="str">
        <f>IF(Objednávka!I38=0," ",Objednávka!I38)</f>
        <v> </v>
      </c>
      <c r="C27" s="169" t="str">
        <f>IF(F27="x"," ",IF(A27=" "," ",Objednávka!N38))</f>
        <v> </v>
      </c>
      <c r="D27" s="169" t="str">
        <f>IF(F27="x",Objednávka!N38," ")</f>
        <v> </v>
      </c>
      <c r="E27" s="169"/>
      <c r="F27" s="171">
        <f>IF(B27=" ","",IF(Objednávka!R38="plné dveře"," ","x"))</f>
      </c>
      <c r="G27" s="171" t="str">
        <f t="shared" si="0"/>
        <v> </v>
      </c>
      <c r="H27" s="169"/>
      <c r="I27" s="169"/>
      <c r="J27" s="170"/>
      <c r="K27" s="187">
        <f>Objednávka!AJ38</f>
        <v>0</v>
      </c>
      <c r="O27" t="e">
        <f t="shared" si="1"/>
        <v>#VALUE!</v>
      </c>
      <c r="P27">
        <f>IF(Objednávka!AC38="svislý","svis.",IF(Objednávka!AC38="vodorovný","vod.",))</f>
        <v>0</v>
      </c>
      <c r="W27">
        <v>1</v>
      </c>
      <c r="X27" s="209" t="s">
        <v>457</v>
      </c>
      <c r="Y27" s="213" t="s">
        <v>456</v>
      </c>
      <c r="Z27" t="s">
        <v>348</v>
      </c>
      <c r="AE27" s="209" t="s">
        <v>457</v>
      </c>
      <c r="AF27" s="213" t="s">
        <v>456</v>
      </c>
      <c r="AG27" t="s">
        <v>348</v>
      </c>
    </row>
    <row r="28" spans="1:33" ht="12.75">
      <c r="A28" s="168" t="str">
        <f>IF(Objednávka!D39=0," ",Objednávka!D39)</f>
        <v> </v>
      </c>
      <c r="B28" s="169" t="str">
        <f>IF(Objednávka!I39=0," ",Objednávka!I39)</f>
        <v> </v>
      </c>
      <c r="C28" s="169" t="str">
        <f>IF(F28="x"," ",IF(A28=" "," ",Objednávka!N39))</f>
        <v> </v>
      </c>
      <c r="D28" s="169" t="str">
        <f>IF(F28="x",Objednávka!N39," ")</f>
        <v> </v>
      </c>
      <c r="E28" s="169"/>
      <c r="F28" s="171">
        <f>IF(B28=" ","",IF(Objednávka!R39="plné dveře"," ","x"))</f>
      </c>
      <c r="G28" s="171" t="str">
        <f t="shared" si="0"/>
        <v> </v>
      </c>
      <c r="H28" s="169"/>
      <c r="I28" s="169"/>
      <c r="J28" s="170"/>
      <c r="K28" s="187">
        <f>Objednávka!AJ39</f>
        <v>0</v>
      </c>
      <c r="O28" t="e">
        <f t="shared" si="1"/>
        <v>#VALUE!</v>
      </c>
      <c r="P28">
        <f>IF(Objednávka!AC39="svislý","svis.",IF(Objednávka!AC39="vodorovný","vod.",))</f>
        <v>0</v>
      </c>
      <c r="W28">
        <v>1</v>
      </c>
      <c r="X28" s="209" t="s">
        <v>459</v>
      </c>
      <c r="Y28" s="213" t="s">
        <v>458</v>
      </c>
      <c r="Z28" t="s">
        <v>349</v>
      </c>
      <c r="AE28" s="209" t="s">
        <v>459</v>
      </c>
      <c r="AF28" s="213" t="s">
        <v>458</v>
      </c>
      <c r="AG28" t="s">
        <v>349</v>
      </c>
    </row>
    <row r="29" spans="1:33" ht="12.75">
      <c r="A29" s="168" t="str">
        <f>IF(Objednávka!D40=0," ",Objednávka!D40)</f>
        <v> </v>
      </c>
      <c r="B29" s="169" t="str">
        <f>IF(Objednávka!I40=0," ",Objednávka!I40)</f>
        <v> </v>
      </c>
      <c r="C29" s="169" t="str">
        <f>IF(F29="x"," ",IF(A29=" "," ",Objednávka!N40))</f>
        <v> </v>
      </c>
      <c r="D29" s="169" t="str">
        <f>IF(F29="x",Objednávka!N40," ")</f>
        <v> </v>
      </c>
      <c r="E29" s="169"/>
      <c r="F29" s="171">
        <f>IF(B29=" ","",IF(Objednávka!R40="plné dveře"," ","x"))</f>
      </c>
      <c r="G29" s="171" t="str">
        <f t="shared" si="0"/>
        <v> </v>
      </c>
      <c r="H29" s="169"/>
      <c r="I29" s="169"/>
      <c r="J29" s="170"/>
      <c r="K29" s="187">
        <f>Objednávka!AJ40</f>
        <v>0</v>
      </c>
      <c r="O29" t="e">
        <f t="shared" si="1"/>
        <v>#VALUE!</v>
      </c>
      <c r="P29">
        <f>IF(Objednávka!AC40="svislý","svis.",IF(Objednávka!AC40="vodorovný","vod.",))</f>
        <v>0</v>
      </c>
      <c r="W29">
        <v>1</v>
      </c>
      <c r="X29" s="209" t="s">
        <v>461</v>
      </c>
      <c r="Y29" s="213" t="s">
        <v>460</v>
      </c>
      <c r="Z29" t="s">
        <v>350</v>
      </c>
      <c r="AE29" s="209" t="s">
        <v>461</v>
      </c>
      <c r="AF29" s="213" t="s">
        <v>460</v>
      </c>
      <c r="AG29" t="s">
        <v>350</v>
      </c>
    </row>
    <row r="30" spans="1:33" ht="12.75">
      <c r="A30" s="168" t="str">
        <f>IF(Objednávka!D41=0," ",Objednávka!D41)</f>
        <v> </v>
      </c>
      <c r="B30" s="169" t="str">
        <f>IF(Objednávka!I41=0," ",Objednávka!I41)</f>
        <v> </v>
      </c>
      <c r="C30" s="169" t="str">
        <f>IF(F30="x"," ",IF(A30=" "," ",Objednávka!N41))</f>
        <v> </v>
      </c>
      <c r="D30" s="169" t="str">
        <f>IF(F30="x",Objednávka!N41," ")</f>
        <v> </v>
      </c>
      <c r="E30" s="169"/>
      <c r="F30" s="171">
        <f>IF(B30=" ","",IF(Objednávka!R41="plné dveře"," ","x"))</f>
      </c>
      <c r="G30" s="171" t="str">
        <f t="shared" si="0"/>
        <v> </v>
      </c>
      <c r="H30" s="169"/>
      <c r="I30" s="169"/>
      <c r="J30" s="170"/>
      <c r="K30" s="187">
        <f>Objednávka!AJ41</f>
        <v>0</v>
      </c>
      <c r="O30" t="e">
        <f t="shared" si="1"/>
        <v>#VALUE!</v>
      </c>
      <c r="P30">
        <f>IF(Objednávka!AC41="svislý","svis.",IF(Objednávka!AC41="vodorovný","vod.",))</f>
        <v>0</v>
      </c>
      <c r="W30">
        <v>1</v>
      </c>
      <c r="X30" s="209" t="s">
        <v>463</v>
      </c>
      <c r="Y30" s="213" t="s">
        <v>462</v>
      </c>
      <c r="Z30" t="s">
        <v>351</v>
      </c>
      <c r="AE30" s="209" t="s">
        <v>463</v>
      </c>
      <c r="AF30" s="213" t="s">
        <v>462</v>
      </c>
      <c r="AG30" t="s">
        <v>351</v>
      </c>
    </row>
    <row r="31" spans="1:33" ht="12.75">
      <c r="A31" s="168" t="str">
        <f>IF(Objednávka!D42=0," ",Objednávka!D42)</f>
        <v> </v>
      </c>
      <c r="B31" s="169" t="str">
        <f>IF(Objednávka!I42=0," ",Objednávka!I42)</f>
        <v> </v>
      </c>
      <c r="C31" s="169" t="str">
        <f>IF(F31="x"," ",IF(A31=" "," ",Objednávka!N42))</f>
        <v> </v>
      </c>
      <c r="D31" s="169" t="str">
        <f>IF(F31="x",Objednávka!N42," ")</f>
        <v> </v>
      </c>
      <c r="E31" s="169"/>
      <c r="F31" s="171">
        <f>IF(B31=" ","",IF(Objednávka!R42="plné dveře"," ","x"))</f>
      </c>
      <c r="G31" s="171" t="str">
        <f t="shared" si="0"/>
        <v> </v>
      </c>
      <c r="H31" s="169"/>
      <c r="I31" s="169"/>
      <c r="J31" s="170"/>
      <c r="K31" s="187">
        <f>Objednávka!AJ42</f>
        <v>0</v>
      </c>
      <c r="O31" t="e">
        <f t="shared" si="1"/>
        <v>#VALUE!</v>
      </c>
      <c r="P31">
        <f>IF(Objednávka!AC42="svislý","svis.",IF(Objednávka!AC42="vodorovný","vod.",))</f>
        <v>0</v>
      </c>
      <c r="W31">
        <v>1</v>
      </c>
      <c r="X31" s="209" t="s">
        <v>465</v>
      </c>
      <c r="Y31" s="213" t="s">
        <v>464</v>
      </c>
      <c r="Z31" t="s">
        <v>352</v>
      </c>
      <c r="AE31" s="209" t="s">
        <v>465</v>
      </c>
      <c r="AF31" s="213" t="s">
        <v>464</v>
      </c>
      <c r="AG31" t="s">
        <v>352</v>
      </c>
    </row>
    <row r="32" spans="1:33" ht="12.75">
      <c r="A32" s="168" t="str">
        <f>IF(Objednávka!D43=0," ",Objednávka!D43)</f>
        <v> </v>
      </c>
      <c r="B32" s="169" t="str">
        <f>IF(Objednávka!I43=0," ",Objednávka!I43)</f>
        <v> </v>
      </c>
      <c r="C32" s="169" t="str">
        <f>IF(F32="x"," ",IF(A32=" "," ",Objednávka!N43))</f>
        <v> </v>
      </c>
      <c r="D32" s="169" t="str">
        <f>IF(F32="x",Objednávka!N43," ")</f>
        <v> </v>
      </c>
      <c r="E32" s="169"/>
      <c r="F32" s="171">
        <f>IF(B32=" ","",IF(Objednávka!R43="plné dveře"," ","x"))</f>
      </c>
      <c r="G32" s="171" t="str">
        <f t="shared" si="0"/>
        <v> </v>
      </c>
      <c r="H32" s="169"/>
      <c r="I32" s="169"/>
      <c r="J32" s="170"/>
      <c r="K32" s="187">
        <f>Objednávka!AJ43</f>
        <v>0</v>
      </c>
      <c r="O32" t="e">
        <f t="shared" si="1"/>
        <v>#VALUE!</v>
      </c>
      <c r="P32">
        <f>IF(Objednávka!AC43="svislý","svis.",IF(Objednávka!AC43="vodorovný","vod.",))</f>
        <v>0</v>
      </c>
      <c r="W32">
        <v>1</v>
      </c>
      <c r="X32" s="209" t="s">
        <v>467</v>
      </c>
      <c r="Y32" s="213" t="s">
        <v>466</v>
      </c>
      <c r="Z32" t="s">
        <v>353</v>
      </c>
      <c r="AE32" s="209" t="s">
        <v>467</v>
      </c>
      <c r="AF32" s="213" t="s">
        <v>466</v>
      </c>
      <c r="AG32" t="s">
        <v>353</v>
      </c>
    </row>
    <row r="33" spans="1:33" ht="12.75">
      <c r="A33" s="168" t="str">
        <f>IF(Objednávka!D44=0," ",Objednávka!D44)</f>
        <v> </v>
      </c>
      <c r="B33" s="169" t="str">
        <f>IF(Objednávka!I44=0," ",Objednávka!I44)</f>
        <v> </v>
      </c>
      <c r="C33" s="169" t="str">
        <f>IF(F33="x"," ",IF(A33=" "," ",Objednávka!N44))</f>
        <v> </v>
      </c>
      <c r="D33" s="169" t="str">
        <f>IF(F33="x",Objednávka!N44," ")</f>
        <v> </v>
      </c>
      <c r="E33" s="169"/>
      <c r="F33" s="171">
        <f>IF(B33=" ","",IF(Objednávka!R44="plné dveře"," ","x"))</f>
      </c>
      <c r="G33" s="171" t="str">
        <f t="shared" si="0"/>
        <v> </v>
      </c>
      <c r="H33" s="169"/>
      <c r="I33" s="169"/>
      <c r="J33" s="170"/>
      <c r="K33" s="187">
        <f>Objednávka!AJ44</f>
        <v>0</v>
      </c>
      <c r="O33" t="e">
        <f t="shared" si="1"/>
        <v>#VALUE!</v>
      </c>
      <c r="P33">
        <f>IF(Objednávka!AC44="svislý","svis.",IF(Objednávka!AC44="vodorovný","vod.",))</f>
        <v>0</v>
      </c>
      <c r="W33">
        <v>1</v>
      </c>
      <c r="X33" s="209" t="s">
        <v>468</v>
      </c>
      <c r="Y33" s="213" t="s">
        <v>293</v>
      </c>
      <c r="Z33" t="s">
        <v>354</v>
      </c>
      <c r="AE33" s="209" t="s">
        <v>468</v>
      </c>
      <c r="AF33" s="213" t="s">
        <v>293</v>
      </c>
      <c r="AG33" t="s">
        <v>354</v>
      </c>
    </row>
    <row r="34" spans="1:33" ht="12.75">
      <c r="A34" s="168" t="str">
        <f>IF(Objednávka!D45=0," ",Objednávka!D45)</f>
        <v> </v>
      </c>
      <c r="B34" s="169" t="str">
        <f>IF(Objednávka!I45=0," ",Objednávka!I45)</f>
        <v> </v>
      </c>
      <c r="C34" s="169" t="str">
        <f>IF(F34="x"," ",IF(A34=" "," ",Objednávka!N45))</f>
        <v> </v>
      </c>
      <c r="D34" s="169" t="str">
        <f>IF(F34="x",Objednávka!N45," ")</f>
        <v> </v>
      </c>
      <c r="E34" s="169"/>
      <c r="F34" s="171">
        <f>IF(B34=" ","",IF(Objednávka!R45="plné dveře"," ","x"))</f>
      </c>
      <c r="G34" s="171" t="str">
        <f t="shared" si="0"/>
        <v> </v>
      </c>
      <c r="H34" s="169"/>
      <c r="I34" s="169"/>
      <c r="J34" s="170"/>
      <c r="K34" s="187">
        <f>Objednávka!AJ45</f>
        <v>0</v>
      </c>
      <c r="O34" t="e">
        <f t="shared" si="1"/>
        <v>#VALUE!</v>
      </c>
      <c r="P34">
        <f>IF(Objednávka!AC45="svislý","svis.",IF(Objednávka!AC45="vodorovný","vod.",))</f>
        <v>0</v>
      </c>
      <c r="W34">
        <v>1</v>
      </c>
      <c r="X34" s="209" t="s">
        <v>469</v>
      </c>
      <c r="Y34" s="213" t="s">
        <v>290</v>
      </c>
      <c r="Z34" t="s">
        <v>355</v>
      </c>
      <c r="AE34" s="209" t="s">
        <v>469</v>
      </c>
      <c r="AF34" s="213" t="s">
        <v>290</v>
      </c>
      <c r="AG34" t="s">
        <v>355</v>
      </c>
    </row>
    <row r="35" spans="1:33" ht="12.75">
      <c r="A35" s="168" t="str">
        <f>IF(Objednávka!D46=0," ",Objednávka!D46)</f>
        <v> </v>
      </c>
      <c r="B35" s="169" t="str">
        <f>IF(Objednávka!I46=0," ",Objednávka!I46)</f>
        <v> </v>
      </c>
      <c r="C35" s="169" t="str">
        <f>IF(F35="x"," ",IF(A35=" "," ",Objednávka!N46))</f>
        <v> </v>
      </c>
      <c r="D35" s="169" t="str">
        <f>IF(F35="x",Objednávka!N46," ")</f>
        <v> </v>
      </c>
      <c r="E35" s="169"/>
      <c r="F35" s="171">
        <f>IF(B35=" ","",IF(Objednávka!R46="plné dveře"," ","x"))</f>
      </c>
      <c r="G35" s="171" t="str">
        <f t="shared" si="0"/>
        <v> </v>
      </c>
      <c r="H35" s="169"/>
      <c r="I35" s="169"/>
      <c r="J35" s="170"/>
      <c r="K35" s="187">
        <f>Objednávka!AJ46</f>
        <v>0</v>
      </c>
      <c r="O35" t="e">
        <f t="shared" si="1"/>
        <v>#VALUE!</v>
      </c>
      <c r="P35">
        <f>IF(Objednávka!AC46="svislý","svis.",IF(Objednávka!AC46="vodorovný","vod.",))</f>
        <v>0</v>
      </c>
      <c r="W35">
        <v>1</v>
      </c>
      <c r="X35" s="209" t="s">
        <v>470</v>
      </c>
      <c r="Y35" s="213" t="s">
        <v>292</v>
      </c>
      <c r="Z35" t="s">
        <v>356</v>
      </c>
      <c r="AE35" s="209" t="s">
        <v>470</v>
      </c>
      <c r="AF35" s="213" t="s">
        <v>292</v>
      </c>
      <c r="AG35" t="s">
        <v>356</v>
      </c>
    </row>
    <row r="36" spans="1:33" ht="12.75">
      <c r="A36" s="168" t="str">
        <f>IF(Objednávka!D47=0," ",Objednávka!D47)</f>
        <v> </v>
      </c>
      <c r="B36" s="169" t="str">
        <f>IF(Objednávka!I47=0," ",Objednávka!I47)</f>
        <v> </v>
      </c>
      <c r="C36" s="169" t="str">
        <f>IF(F36="x"," ",IF(A36=" "," ",Objednávka!N47))</f>
        <v> </v>
      </c>
      <c r="D36" s="169" t="str">
        <f>IF(F36="x",Objednávka!N47," ")</f>
        <v> </v>
      </c>
      <c r="E36" s="169"/>
      <c r="F36" s="171">
        <f>IF(B36=" ","",IF(Objednávka!R47="plné dveře"," ","x"))</f>
      </c>
      <c r="G36" s="171" t="str">
        <f t="shared" si="0"/>
        <v> </v>
      </c>
      <c r="H36" s="169"/>
      <c r="I36" s="169"/>
      <c r="J36" s="170"/>
      <c r="K36" s="187">
        <f>Objednávka!AJ47</f>
        <v>0</v>
      </c>
      <c r="O36" t="e">
        <f t="shared" si="1"/>
        <v>#VALUE!</v>
      </c>
      <c r="P36">
        <f>IF(Objednávka!AC47="svislý","svis.",IF(Objednávka!AC47="vodorovný","vod.",))</f>
        <v>0</v>
      </c>
      <c r="W36">
        <v>1</v>
      </c>
      <c r="X36" s="209" t="s">
        <v>471</v>
      </c>
      <c r="Y36" s="213" t="s">
        <v>309</v>
      </c>
      <c r="Z36" t="s">
        <v>357</v>
      </c>
      <c r="AE36" s="209" t="s">
        <v>471</v>
      </c>
      <c r="AF36" s="213" t="s">
        <v>309</v>
      </c>
      <c r="AG36" t="s">
        <v>357</v>
      </c>
    </row>
    <row r="37" spans="1:33" ht="12.75">
      <c r="A37" s="168" t="str">
        <f>IF(Objednávka!D48=0," ",Objednávka!D48)</f>
        <v> </v>
      </c>
      <c r="B37" s="169" t="str">
        <f>IF(Objednávka!I48=0," ",Objednávka!I48)</f>
        <v> </v>
      </c>
      <c r="C37" s="169" t="str">
        <f>IF(F37="x"," ",IF(A37=" "," ",Objednávka!N48))</f>
        <v> </v>
      </c>
      <c r="D37" s="169" t="str">
        <f>IF(F37="x",Objednávka!N48," ")</f>
        <v> </v>
      </c>
      <c r="E37" s="169"/>
      <c r="F37" s="171">
        <f>IF(B37=" ","",IF(Objednávka!R48="plné dveře"," ","x"))</f>
      </c>
      <c r="G37" s="171" t="str">
        <f t="shared" si="0"/>
        <v> </v>
      </c>
      <c r="H37" s="169"/>
      <c r="I37" s="169"/>
      <c r="J37" s="170"/>
      <c r="K37" s="187">
        <f>Objednávka!AJ48</f>
        <v>0</v>
      </c>
      <c r="O37" t="e">
        <f t="shared" si="1"/>
        <v>#VALUE!</v>
      </c>
      <c r="P37">
        <f>IF(Objednávka!AC48="svislý","svis.",IF(Objednávka!AC48="vodorovný","vod.",))</f>
        <v>0</v>
      </c>
      <c r="W37">
        <v>1</v>
      </c>
      <c r="X37" s="209" t="s">
        <v>472</v>
      </c>
      <c r="Y37" s="213" t="s">
        <v>286</v>
      </c>
      <c r="Z37" t="s">
        <v>358</v>
      </c>
      <c r="AE37" s="209" t="s">
        <v>472</v>
      </c>
      <c r="AF37" s="213" t="s">
        <v>286</v>
      </c>
      <c r="AG37" t="s">
        <v>358</v>
      </c>
    </row>
    <row r="38" spans="1:33" ht="12.75">
      <c r="A38" s="168" t="str">
        <f>IF(Objednávka!D49=0," ",Objednávka!D49)</f>
        <v> </v>
      </c>
      <c r="B38" s="169" t="str">
        <f>IF(Objednávka!I49=0," ",Objednávka!I49)</f>
        <v> </v>
      </c>
      <c r="C38" s="169" t="str">
        <f>IF(F38="x"," ",IF(A38=" "," ",Objednávka!N49))</f>
        <v> </v>
      </c>
      <c r="D38" s="169" t="str">
        <f>IF(F38="x",Objednávka!N49," ")</f>
        <v> </v>
      </c>
      <c r="E38" s="169"/>
      <c r="F38" s="171">
        <f>IF(B38=" ","",IF(Objednávka!R49="plné dveře"," ","x"))</f>
      </c>
      <c r="G38" s="171" t="str">
        <f t="shared" si="0"/>
        <v> </v>
      </c>
      <c r="H38" s="169"/>
      <c r="I38" s="169"/>
      <c r="J38" s="170"/>
      <c r="K38" s="187">
        <f>Objednávka!AJ49</f>
        <v>0</v>
      </c>
      <c r="O38" t="e">
        <f t="shared" si="1"/>
        <v>#VALUE!</v>
      </c>
      <c r="P38">
        <f>IF(Objednávka!AC49="svislý","svis.",IF(Objednávka!AC49="vodorovný","vod.",))</f>
        <v>0</v>
      </c>
      <c r="W38">
        <v>1</v>
      </c>
      <c r="X38" s="209" t="s">
        <v>473</v>
      </c>
      <c r="Y38" s="213" t="s">
        <v>288</v>
      </c>
      <c r="Z38" t="s">
        <v>359</v>
      </c>
      <c r="AE38" s="209" t="s">
        <v>473</v>
      </c>
      <c r="AF38" s="213" t="s">
        <v>288</v>
      </c>
      <c r="AG38" t="s">
        <v>359</v>
      </c>
    </row>
    <row r="39" spans="1:33" ht="12.75">
      <c r="A39" s="168" t="str">
        <f>IF(Objednávka!D50=0," ",Objednávka!D50)</f>
        <v> </v>
      </c>
      <c r="B39" s="169" t="str">
        <f>IF(Objednávka!I50=0," ",Objednávka!I50)</f>
        <v> </v>
      </c>
      <c r="C39" s="169" t="str">
        <f>IF(F39="x"," ",IF(A39=" "," ",Objednávka!N50))</f>
        <v> </v>
      </c>
      <c r="D39" s="169" t="str">
        <f>IF(F39="x",Objednávka!N50," ")</f>
        <v> </v>
      </c>
      <c r="E39" s="169"/>
      <c r="F39" s="171">
        <f>IF(B39=" ","",IF(Objednávka!R50="plné dveře"," ","x"))</f>
      </c>
      <c r="G39" s="171" t="str">
        <f t="shared" si="0"/>
        <v> </v>
      </c>
      <c r="H39" s="169"/>
      <c r="I39" s="169"/>
      <c r="J39" s="170"/>
      <c r="K39" s="187">
        <f>Objednávka!AJ50</f>
        <v>0</v>
      </c>
      <c r="O39" t="e">
        <f t="shared" si="1"/>
        <v>#VALUE!</v>
      </c>
      <c r="P39">
        <f>IF(Objednávka!AC50="svislý","svis.",IF(Objednávka!AC50="vodorovný","vod.",))</f>
        <v>0</v>
      </c>
      <c r="W39">
        <v>1</v>
      </c>
      <c r="X39" s="209" t="s">
        <v>474</v>
      </c>
      <c r="Y39" s="213" t="s">
        <v>287</v>
      </c>
      <c r="Z39" t="s">
        <v>407</v>
      </c>
      <c r="AE39" s="209" t="s">
        <v>474</v>
      </c>
      <c r="AF39" s="213" t="s">
        <v>287</v>
      </c>
      <c r="AG39" t="s">
        <v>407</v>
      </c>
    </row>
    <row r="40" spans="1:33" ht="12.75">
      <c r="A40" s="168" t="str">
        <f>IF(Objednávka!D51=0," ",Objednávka!D51)</f>
        <v> </v>
      </c>
      <c r="B40" s="169" t="str">
        <f>IF(Objednávka!I51=0," ",Objednávka!I51)</f>
        <v> </v>
      </c>
      <c r="C40" s="169" t="str">
        <f>IF(F40="x"," ",IF(A40=" "," ",Objednávka!N51))</f>
        <v> </v>
      </c>
      <c r="D40" s="169" t="str">
        <f>IF(F40="x",Objednávka!N51," ")</f>
        <v> </v>
      </c>
      <c r="E40" s="169"/>
      <c r="F40" s="171">
        <f>IF(B40=" ","",IF(Objednávka!R51="plné dveře"," ","x"))</f>
      </c>
      <c r="G40" s="171" t="str">
        <f t="shared" si="0"/>
        <v> </v>
      </c>
      <c r="H40" s="169"/>
      <c r="I40" s="169"/>
      <c r="J40" s="170"/>
      <c r="K40" s="187">
        <f>Objednávka!AJ51</f>
        <v>0</v>
      </c>
      <c r="O40" t="e">
        <f t="shared" si="1"/>
        <v>#VALUE!</v>
      </c>
      <c r="P40">
        <f>IF(Objednávka!AC51="svislý","svis.",IF(Objednávka!AC51="vodorovný","vod.",))</f>
        <v>0</v>
      </c>
      <c r="W40">
        <v>1</v>
      </c>
      <c r="X40" s="209" t="s">
        <v>475</v>
      </c>
      <c r="Y40" s="213" t="s">
        <v>302</v>
      </c>
      <c r="Z40" t="s">
        <v>360</v>
      </c>
      <c r="AE40" s="209" t="s">
        <v>475</v>
      </c>
      <c r="AF40" s="213" t="s">
        <v>302</v>
      </c>
      <c r="AG40" t="s">
        <v>360</v>
      </c>
    </row>
    <row r="41" spans="1:33" ht="12.75">
      <c r="A41" s="168" t="str">
        <f>IF(Objednávka!D52=0," ",Objednávka!D52)</f>
        <v> </v>
      </c>
      <c r="B41" s="169" t="str">
        <f>IF(Objednávka!I52=0," ",Objednávka!I52)</f>
        <v> </v>
      </c>
      <c r="C41" s="169" t="str">
        <f>IF(F41="x"," ",IF(A41=" "," ",Objednávka!N52))</f>
        <v> </v>
      </c>
      <c r="D41" s="169" t="str">
        <f>IF(F41="x",Objednávka!N52," ")</f>
        <v> </v>
      </c>
      <c r="E41" s="169"/>
      <c r="F41" s="171">
        <f>IF(B41=" ","",IF(Objednávka!R52="plné dveře"," ","x"))</f>
      </c>
      <c r="G41" s="171" t="str">
        <f t="shared" si="0"/>
        <v> </v>
      </c>
      <c r="H41" s="169"/>
      <c r="I41" s="169"/>
      <c r="J41" s="170"/>
      <c r="K41" s="187">
        <f>Objednávka!AJ52</f>
        <v>0</v>
      </c>
      <c r="O41" t="e">
        <f t="shared" si="1"/>
        <v>#VALUE!</v>
      </c>
      <c r="P41">
        <f>IF(Objednávka!AC52="svislý","svis.",IF(Objednávka!AC52="vodorovný","vod.",))</f>
        <v>0</v>
      </c>
      <c r="W41">
        <v>1</v>
      </c>
      <c r="X41" s="209" t="s">
        <v>476</v>
      </c>
      <c r="Y41" s="213">
        <v>4224170</v>
      </c>
      <c r="Z41" t="s">
        <v>78</v>
      </c>
      <c r="AE41" s="209" t="s">
        <v>476</v>
      </c>
      <c r="AF41" s="213">
        <v>4224170</v>
      </c>
      <c r="AG41" t="s">
        <v>78</v>
      </c>
    </row>
    <row r="42" spans="1:33" ht="12.75">
      <c r="A42" s="168" t="str">
        <f>IF(Objednávka!D53=0," ",Objednávka!D53)</f>
        <v> </v>
      </c>
      <c r="B42" s="169" t="str">
        <f>IF(Objednávka!I53=0," ",Objednávka!I53)</f>
        <v> </v>
      </c>
      <c r="C42" s="169" t="str">
        <f>IF(F42="x"," ",IF(A42=" "," ",Objednávka!N53))</f>
        <v> </v>
      </c>
      <c r="D42" s="169" t="str">
        <f>IF(F42="x",Objednávka!N53," ")</f>
        <v> </v>
      </c>
      <c r="E42" s="169"/>
      <c r="F42" s="171">
        <f>IF(B42=" ","",IF(Objednávka!R53="plné dveře"," ","x"))</f>
      </c>
      <c r="G42" s="171" t="str">
        <f t="shared" si="0"/>
        <v> </v>
      </c>
      <c r="H42" s="169"/>
      <c r="I42" s="169"/>
      <c r="J42" s="170"/>
      <c r="K42" s="187">
        <f>Objednávka!AJ53</f>
        <v>0</v>
      </c>
      <c r="O42" t="e">
        <f t="shared" si="1"/>
        <v>#VALUE!</v>
      </c>
      <c r="P42">
        <f>IF(Objednávka!AC53="svislý","svis.",IF(Objednávka!AC53="vodorovný","vod.",))</f>
        <v>0</v>
      </c>
      <c r="W42">
        <v>1</v>
      </c>
      <c r="X42" s="209" t="s">
        <v>477</v>
      </c>
      <c r="Y42" s="213">
        <v>4242422</v>
      </c>
      <c r="Z42" t="s">
        <v>79</v>
      </c>
      <c r="AE42" s="209" t="s">
        <v>477</v>
      </c>
      <c r="AF42" s="213">
        <v>4242422</v>
      </c>
      <c r="AG42" t="s">
        <v>79</v>
      </c>
    </row>
    <row r="43" spans="1:33" ht="12.75">
      <c r="A43" s="168" t="str">
        <f>IF(Objednávka!D54=0," ",Objednávka!D54)</f>
        <v> </v>
      </c>
      <c r="B43" s="169" t="str">
        <f>IF(Objednávka!I54=0," ",Objednávka!I54)</f>
        <v> </v>
      </c>
      <c r="C43" s="169" t="str">
        <f>IF(F43="x"," ",IF(A43=" "," ",Objednávka!N54))</f>
        <v> </v>
      </c>
      <c r="D43" s="169" t="str">
        <f>IF(F43="x",Objednávka!N54," ")</f>
        <v> </v>
      </c>
      <c r="E43" s="169"/>
      <c r="F43" s="171">
        <f>IF(B43=" ","",IF(Objednávka!R54="plné dveře"," ","x"))</f>
      </c>
      <c r="G43" s="171" t="str">
        <f t="shared" si="0"/>
        <v> </v>
      </c>
      <c r="H43" s="169"/>
      <c r="I43" s="169"/>
      <c r="J43" s="170"/>
      <c r="K43" s="187">
        <f>Objednávka!AJ54</f>
        <v>0</v>
      </c>
      <c r="O43" t="e">
        <f t="shared" si="1"/>
        <v>#VALUE!</v>
      </c>
      <c r="P43">
        <f>IF(Objednávka!AC54="svislý","svis.",IF(Objednávka!AC54="vodorovný","vod.",))</f>
        <v>0</v>
      </c>
      <c r="W43">
        <v>1</v>
      </c>
      <c r="X43" s="209" t="s">
        <v>478</v>
      </c>
      <c r="Y43" s="213">
        <v>4242425</v>
      </c>
      <c r="Z43" t="s">
        <v>80</v>
      </c>
      <c r="AE43" s="209" t="s">
        <v>478</v>
      </c>
      <c r="AF43" s="213">
        <v>4242425</v>
      </c>
      <c r="AG43" t="s">
        <v>80</v>
      </c>
    </row>
    <row r="44" spans="1:33" ht="12.75">
      <c r="A44" s="168" t="str">
        <f>IF(Objednávka!D55=0," ",Objednávka!D55)</f>
        <v> </v>
      </c>
      <c r="B44" s="169" t="str">
        <f>IF(Objednávka!I55=0," ",Objednávka!I55)</f>
        <v> </v>
      </c>
      <c r="C44" s="169" t="str">
        <f>IF(F44="x"," ",IF(A44=" "," ",Objednávka!N55))</f>
        <v> </v>
      </c>
      <c r="D44" s="169" t="str">
        <f>IF(F44="x",Objednávka!N55," ")</f>
        <v> </v>
      </c>
      <c r="E44" s="169"/>
      <c r="F44" s="171">
        <f>IF(B44=" ","",IF(Objednávka!R55="plné dveře"," ","x"))</f>
      </c>
      <c r="G44" s="171" t="str">
        <f t="shared" si="0"/>
        <v> </v>
      </c>
      <c r="H44" s="169"/>
      <c r="I44" s="169"/>
      <c r="K44" s="187">
        <f>Objednávka!AJ55</f>
        <v>0</v>
      </c>
      <c r="O44" t="e">
        <f t="shared" si="1"/>
        <v>#VALUE!</v>
      </c>
      <c r="P44">
        <f>IF(Objednávka!AC55="svislý","svis.",IF(Objednávka!AC55="vodorovný","vod.",))</f>
        <v>0</v>
      </c>
      <c r="W44">
        <v>1</v>
      </c>
      <c r="X44" s="209" t="s">
        <v>479</v>
      </c>
      <c r="Y44" s="213" t="s">
        <v>289</v>
      </c>
      <c r="Z44" t="s">
        <v>81</v>
      </c>
      <c r="AE44" s="209" t="s">
        <v>479</v>
      </c>
      <c r="AF44" s="213" t="s">
        <v>289</v>
      </c>
      <c r="AG44" t="s">
        <v>81</v>
      </c>
    </row>
    <row r="45" spans="1:33" ht="12.75">
      <c r="A45" s="168" t="str">
        <f>IF(Objednávka!D56=0," ",Objednávka!D56)</f>
        <v> </v>
      </c>
      <c r="B45" s="169" t="str">
        <f>IF(Objednávka!I56=0," ",Objednávka!I56)</f>
        <v> </v>
      </c>
      <c r="C45" s="169" t="str">
        <f>IF(F45="x"," ",IF(A45=" "," ",Objednávka!N56))</f>
        <v> </v>
      </c>
      <c r="D45" s="169" t="str">
        <f>IF(F45="x",Objednávka!N56," ")</f>
        <v> </v>
      </c>
      <c r="E45" s="169"/>
      <c r="F45" s="171">
        <f>IF(B45=" ","",IF(Objednávka!R56="plné dveře"," ","x"))</f>
      </c>
      <c r="G45" s="171" t="str">
        <f t="shared" si="0"/>
        <v> </v>
      </c>
      <c r="H45" s="169"/>
      <c r="I45" s="169"/>
      <c r="J45" s="170"/>
      <c r="K45" s="187">
        <f>Objednávka!AJ56</f>
        <v>0</v>
      </c>
      <c r="O45" t="e">
        <f t="shared" si="1"/>
        <v>#VALUE!</v>
      </c>
      <c r="P45">
        <f>IF(Objednávka!AC56="svislý","svis.",IF(Objednávka!AC56="vodorovný","vod.",))</f>
        <v>0</v>
      </c>
      <c r="W45">
        <v>1</v>
      </c>
      <c r="X45" s="209" t="s">
        <v>481</v>
      </c>
      <c r="Y45" s="213" t="s">
        <v>480</v>
      </c>
      <c r="Z45" t="s">
        <v>82</v>
      </c>
      <c r="AE45" s="209" t="s">
        <v>481</v>
      </c>
      <c r="AF45" s="213" t="s">
        <v>480</v>
      </c>
      <c r="AG45" t="s">
        <v>82</v>
      </c>
    </row>
    <row r="46" spans="1:33" ht="12.75">
      <c r="A46" s="168" t="str">
        <f>IF(Objednávka!D57=0," ",Objednávka!D57)</f>
        <v> </v>
      </c>
      <c r="B46" s="169" t="str">
        <f>IF(Objednávka!I57=0," ",Objednávka!I57)</f>
        <v> </v>
      </c>
      <c r="C46" s="169" t="str">
        <f>IF(F46="x"," ",IF(A46=" "," ",Objednávka!N57))</f>
        <v> </v>
      </c>
      <c r="D46" s="169" t="str">
        <f>IF(F46="x",Objednávka!N57," ")</f>
        <v> </v>
      </c>
      <c r="E46" s="169"/>
      <c r="F46" s="171">
        <f>IF(B46=" ","",IF(Objednávka!R57="plné dveře"," ","x"))</f>
      </c>
      <c r="G46" s="171" t="str">
        <f t="shared" si="0"/>
        <v> </v>
      </c>
      <c r="H46" s="169"/>
      <c r="I46" s="169"/>
      <c r="J46" s="170"/>
      <c r="K46" s="187">
        <f>Objednávka!AJ57</f>
        <v>0</v>
      </c>
      <c r="O46" t="e">
        <f t="shared" si="1"/>
        <v>#VALUE!</v>
      </c>
      <c r="P46">
        <f>IF(Objednávka!AC57="svislý","svis.",IF(Objednávka!AC57="vodorovný","vod.",))</f>
        <v>0</v>
      </c>
      <c r="W46">
        <v>1</v>
      </c>
      <c r="X46" s="209" t="s">
        <v>482</v>
      </c>
      <c r="Y46" s="213" t="s">
        <v>304</v>
      </c>
      <c r="Z46" t="s">
        <v>83</v>
      </c>
      <c r="AE46" s="209" t="s">
        <v>482</v>
      </c>
      <c r="AF46" s="213" t="s">
        <v>304</v>
      </c>
      <c r="AG46" t="s">
        <v>83</v>
      </c>
    </row>
    <row r="47" spans="1:33" ht="13.5" thickBot="1">
      <c r="A47" s="168" t="str">
        <f>IF(Objednávka!D58=0," ",Objednávka!D58)</f>
        <v> </v>
      </c>
      <c r="B47" s="169" t="str">
        <f>IF(Objednávka!I58=0," ",Objednávka!I58)</f>
        <v> </v>
      </c>
      <c r="C47" s="169" t="str">
        <f>IF(F47="x"," ",IF(A47=" "," ",Objednávka!N58))</f>
        <v> </v>
      </c>
      <c r="D47" s="169" t="str">
        <f>IF(F47="x",Objednávka!N58," ")</f>
        <v> </v>
      </c>
      <c r="E47" s="173"/>
      <c r="F47" s="171">
        <f>IF(B47=" ","",IF(Objednávka!R58="plné dveře"," ","x"))</f>
      </c>
      <c r="G47" s="171" t="str">
        <f t="shared" si="0"/>
        <v> </v>
      </c>
      <c r="H47" s="173"/>
      <c r="I47" s="173"/>
      <c r="J47" s="174"/>
      <c r="K47" s="187">
        <f>Objednávka!AJ58</f>
        <v>0</v>
      </c>
      <c r="O47" t="e">
        <f t="shared" si="1"/>
        <v>#VALUE!</v>
      </c>
      <c r="P47">
        <f>IF(Objednávka!AC58="svislý","svis.",IF(Objednávka!AC58="vodorovný","vod.",))</f>
        <v>0</v>
      </c>
      <c r="W47">
        <v>1</v>
      </c>
      <c r="X47" s="209" t="s">
        <v>483</v>
      </c>
      <c r="Y47" s="213" t="s">
        <v>301</v>
      </c>
      <c r="Z47" t="s">
        <v>361</v>
      </c>
      <c r="AE47" s="209" t="s">
        <v>483</v>
      </c>
      <c r="AF47" s="213" t="s">
        <v>301</v>
      </c>
      <c r="AG47" t="s">
        <v>361</v>
      </c>
    </row>
    <row r="48" spans="1:33" ht="13.5" thickBot="1">
      <c r="A48" s="311" t="s">
        <v>278</v>
      </c>
      <c r="B48" s="340"/>
      <c r="C48" s="175">
        <f>SUM(C8:C47)</f>
        <v>1</v>
      </c>
      <c r="D48" s="175">
        <f>SUM(D8:D47)</f>
        <v>0</v>
      </c>
      <c r="E48" s="175">
        <f>SUM(E8:E47)</f>
        <v>0</v>
      </c>
      <c r="F48" s="176"/>
      <c r="G48" s="177"/>
      <c r="H48" s="177"/>
      <c r="I48" s="177"/>
      <c r="J48" s="176"/>
      <c r="K48" s="178">
        <f>SUM(K8:K47)</f>
        <v>1</v>
      </c>
      <c r="W48">
        <v>1</v>
      </c>
      <c r="X48" s="209" t="s">
        <v>485</v>
      </c>
      <c r="Y48" s="213" t="s">
        <v>484</v>
      </c>
      <c r="Z48" t="s">
        <v>362</v>
      </c>
      <c r="AE48" s="209" t="s">
        <v>485</v>
      </c>
      <c r="AF48" s="213" t="s">
        <v>484</v>
      </c>
      <c r="AG48" t="s">
        <v>362</v>
      </c>
    </row>
    <row r="49" spans="1:33" ht="13.5" thickBot="1">
      <c r="A49" s="311"/>
      <c r="B49" s="312"/>
      <c r="C49" s="312"/>
      <c r="D49" s="312"/>
      <c r="E49" s="312"/>
      <c r="F49" s="312"/>
      <c r="G49" s="313"/>
      <c r="H49" s="312"/>
      <c r="I49" s="312"/>
      <c r="J49" s="312"/>
      <c r="K49" s="314"/>
      <c r="W49">
        <v>1</v>
      </c>
      <c r="X49" s="209" t="s">
        <v>486</v>
      </c>
      <c r="Y49" s="213" t="s">
        <v>296</v>
      </c>
      <c r="Z49" t="s">
        <v>84</v>
      </c>
      <c r="AE49" s="209" t="s">
        <v>486</v>
      </c>
      <c r="AF49" s="213" t="s">
        <v>296</v>
      </c>
      <c r="AG49" t="s">
        <v>84</v>
      </c>
    </row>
    <row r="50" spans="1:33" ht="15.75">
      <c r="A50" s="294" t="s">
        <v>279</v>
      </c>
      <c r="B50" s="295"/>
      <c r="C50" s="295"/>
      <c r="D50" s="295"/>
      <c r="E50" s="296"/>
      <c r="F50" s="297"/>
      <c r="G50" s="300" t="s">
        <v>280</v>
      </c>
      <c r="H50" s="296"/>
      <c r="I50" s="179"/>
      <c r="J50" s="301"/>
      <c r="K50" s="302"/>
      <c r="W50">
        <v>1</v>
      </c>
      <c r="X50" s="209" t="s">
        <v>488</v>
      </c>
      <c r="Y50" s="213" t="s">
        <v>487</v>
      </c>
      <c r="Z50" t="s">
        <v>363</v>
      </c>
      <c r="AE50" s="209" t="s">
        <v>488</v>
      </c>
      <c r="AF50" s="213" t="s">
        <v>487</v>
      </c>
      <c r="AG50" t="s">
        <v>363</v>
      </c>
    </row>
    <row r="51" spans="1:33" ht="12.75">
      <c r="A51" s="180" t="s">
        <v>268</v>
      </c>
      <c r="B51" s="181" t="s">
        <v>269</v>
      </c>
      <c r="C51" s="182" t="s">
        <v>281</v>
      </c>
      <c r="D51" s="307" t="s">
        <v>245</v>
      </c>
      <c r="E51" s="308"/>
      <c r="F51" s="298"/>
      <c r="G51" s="182" t="s">
        <v>245</v>
      </c>
      <c r="H51" s="182" t="s">
        <v>281</v>
      </c>
      <c r="I51" s="159"/>
      <c r="J51" s="303"/>
      <c r="K51" s="304"/>
      <c r="W51">
        <v>1</v>
      </c>
      <c r="X51" s="209" t="s">
        <v>490</v>
      </c>
      <c r="Y51" s="213" t="s">
        <v>489</v>
      </c>
      <c r="Z51" t="s">
        <v>364</v>
      </c>
      <c r="AE51" s="209" t="s">
        <v>490</v>
      </c>
      <c r="AF51" s="213" t="s">
        <v>489</v>
      </c>
      <c r="AG51" t="s">
        <v>364</v>
      </c>
    </row>
    <row r="52" spans="1:33" ht="13.5" thickBot="1">
      <c r="A52" s="183"/>
      <c r="B52" s="184"/>
      <c r="C52" s="185"/>
      <c r="D52" s="309"/>
      <c r="E52" s="310"/>
      <c r="F52" s="299"/>
      <c r="G52" s="192">
        <f>Objednávka!B48</f>
        <v>0</v>
      </c>
      <c r="H52" s="185">
        <f>Objednávka!K48</f>
        <v>0</v>
      </c>
      <c r="I52" s="186"/>
      <c r="J52" s="305"/>
      <c r="K52" s="306"/>
      <c r="W52">
        <v>1</v>
      </c>
      <c r="X52" s="209" t="s">
        <v>492</v>
      </c>
      <c r="Y52" s="213" t="s">
        <v>491</v>
      </c>
      <c r="Z52" t="s">
        <v>365</v>
      </c>
      <c r="AE52" s="209" t="s">
        <v>492</v>
      </c>
      <c r="AF52" s="213" t="s">
        <v>491</v>
      </c>
      <c r="AG52" t="s">
        <v>365</v>
      </c>
    </row>
    <row r="53" spans="23:33" ht="12.75">
      <c r="W53">
        <v>1</v>
      </c>
      <c r="X53" s="209" t="s">
        <v>494</v>
      </c>
      <c r="Y53" s="213" t="s">
        <v>493</v>
      </c>
      <c r="Z53" t="s">
        <v>366</v>
      </c>
      <c r="AE53" s="209" t="s">
        <v>494</v>
      </c>
      <c r="AF53" s="213" t="s">
        <v>493</v>
      </c>
      <c r="AG53" t="s">
        <v>366</v>
      </c>
    </row>
    <row r="54" spans="23:33" ht="12.75">
      <c r="W54">
        <v>1</v>
      </c>
      <c r="X54" s="209" t="s">
        <v>496</v>
      </c>
      <c r="Y54" s="213" t="s">
        <v>495</v>
      </c>
      <c r="Z54" t="s">
        <v>367</v>
      </c>
      <c r="AE54" s="209" t="s">
        <v>496</v>
      </c>
      <c r="AF54" s="213" t="s">
        <v>495</v>
      </c>
      <c r="AG54" t="s">
        <v>367</v>
      </c>
    </row>
    <row r="55" spans="23:33" ht="12.75">
      <c r="W55">
        <v>1</v>
      </c>
      <c r="X55" s="209" t="s">
        <v>497</v>
      </c>
      <c r="Y55" s="213" t="s">
        <v>310</v>
      </c>
      <c r="Z55" t="s">
        <v>368</v>
      </c>
      <c r="AE55" s="209" t="s">
        <v>497</v>
      </c>
      <c r="AF55" s="213" t="s">
        <v>310</v>
      </c>
      <c r="AG55" t="s">
        <v>368</v>
      </c>
    </row>
    <row r="56" spans="23:33" ht="12.75">
      <c r="W56">
        <v>1</v>
      </c>
      <c r="X56" s="209" t="s">
        <v>499</v>
      </c>
      <c r="Y56" s="213" t="s">
        <v>498</v>
      </c>
      <c r="Z56" t="s">
        <v>369</v>
      </c>
      <c r="AE56" s="209" t="s">
        <v>499</v>
      </c>
      <c r="AF56" s="213" t="s">
        <v>498</v>
      </c>
      <c r="AG56" t="s">
        <v>369</v>
      </c>
    </row>
    <row r="57" spans="23:33" ht="12.75">
      <c r="W57">
        <v>1</v>
      </c>
      <c r="X57" s="209" t="s">
        <v>501</v>
      </c>
      <c r="Y57" s="213" t="s">
        <v>500</v>
      </c>
      <c r="Z57" t="s">
        <v>370</v>
      </c>
      <c r="AE57" s="209" t="s">
        <v>501</v>
      </c>
      <c r="AF57" s="213" t="s">
        <v>500</v>
      </c>
      <c r="AG57" t="s">
        <v>370</v>
      </c>
    </row>
    <row r="58" spans="23:33" ht="12.75">
      <c r="W58">
        <v>1</v>
      </c>
      <c r="X58" s="209" t="s">
        <v>503</v>
      </c>
      <c r="Y58" s="213" t="s">
        <v>502</v>
      </c>
      <c r="Z58" t="s">
        <v>85</v>
      </c>
      <c r="AE58" s="209" t="s">
        <v>503</v>
      </c>
      <c r="AF58" s="213" t="s">
        <v>502</v>
      </c>
      <c r="AG58" t="s">
        <v>85</v>
      </c>
    </row>
    <row r="59" spans="23:33" ht="12.75">
      <c r="W59">
        <v>1</v>
      </c>
      <c r="X59" s="209" t="s">
        <v>504</v>
      </c>
      <c r="Y59" s="213" t="s">
        <v>300</v>
      </c>
      <c r="Z59" t="s">
        <v>86</v>
      </c>
      <c r="AE59" s="209" t="s">
        <v>504</v>
      </c>
      <c r="AF59" s="213" t="s">
        <v>300</v>
      </c>
      <c r="AG59" t="s">
        <v>86</v>
      </c>
    </row>
    <row r="60" spans="23:33" ht="12.75">
      <c r="W60">
        <v>1</v>
      </c>
      <c r="X60" s="209" t="s">
        <v>505</v>
      </c>
      <c r="Y60" s="213" t="s">
        <v>303</v>
      </c>
      <c r="Z60" t="s">
        <v>87</v>
      </c>
      <c r="AE60" s="209" t="s">
        <v>505</v>
      </c>
      <c r="AF60" s="213" t="s">
        <v>303</v>
      </c>
      <c r="AG60" t="s">
        <v>87</v>
      </c>
    </row>
    <row r="61" spans="23:33" ht="12.75">
      <c r="W61">
        <v>1</v>
      </c>
      <c r="X61" s="209" t="s">
        <v>506</v>
      </c>
      <c r="Y61" s="213" t="s">
        <v>285</v>
      </c>
      <c r="Z61" t="s">
        <v>406</v>
      </c>
      <c r="AE61" s="209" t="s">
        <v>506</v>
      </c>
      <c r="AF61" s="213" t="s">
        <v>285</v>
      </c>
      <c r="AG61" t="s">
        <v>406</v>
      </c>
    </row>
    <row r="62" spans="23:33" ht="12.75">
      <c r="W62">
        <v>1</v>
      </c>
      <c r="X62" s="209" t="s">
        <v>507</v>
      </c>
      <c r="Y62" s="213">
        <v>3237001</v>
      </c>
      <c r="Z62" t="s">
        <v>77</v>
      </c>
      <c r="AE62" s="209" t="s">
        <v>507</v>
      </c>
      <c r="AF62" s="213">
        <v>3237001</v>
      </c>
      <c r="AG62" t="s">
        <v>77</v>
      </c>
    </row>
    <row r="63" spans="23:33" ht="12.75">
      <c r="W63">
        <v>1</v>
      </c>
      <c r="X63" s="209" t="s">
        <v>509</v>
      </c>
      <c r="Y63" s="213" t="s">
        <v>508</v>
      </c>
      <c r="Z63" t="s">
        <v>371</v>
      </c>
      <c r="AE63" s="209" t="s">
        <v>509</v>
      </c>
      <c r="AF63" s="213" t="s">
        <v>508</v>
      </c>
      <c r="AG63" t="s">
        <v>371</v>
      </c>
    </row>
    <row r="64" spans="23:33" ht="12.75">
      <c r="W64">
        <v>1</v>
      </c>
      <c r="X64" s="209" t="s">
        <v>511</v>
      </c>
      <c r="Y64" s="213" t="s">
        <v>510</v>
      </c>
      <c r="Z64" t="s">
        <v>372</v>
      </c>
      <c r="AE64" s="209" t="s">
        <v>511</v>
      </c>
      <c r="AF64" s="213" t="s">
        <v>510</v>
      </c>
      <c r="AG64" t="s">
        <v>372</v>
      </c>
    </row>
    <row r="65" spans="23:33" ht="12.75">
      <c r="W65">
        <v>1</v>
      </c>
      <c r="X65" s="209" t="s">
        <v>513</v>
      </c>
      <c r="Y65" s="213" t="s">
        <v>512</v>
      </c>
      <c r="Z65" t="s">
        <v>373</v>
      </c>
      <c r="AE65" s="209" t="s">
        <v>513</v>
      </c>
      <c r="AF65" s="213" t="s">
        <v>512</v>
      </c>
      <c r="AG65" t="s">
        <v>373</v>
      </c>
    </row>
    <row r="66" spans="23:33" ht="12.75">
      <c r="W66">
        <v>1</v>
      </c>
      <c r="X66" s="209" t="s">
        <v>514</v>
      </c>
      <c r="Y66" s="213" t="s">
        <v>313</v>
      </c>
      <c r="Z66" t="s">
        <v>374</v>
      </c>
      <c r="AE66" s="209" t="s">
        <v>514</v>
      </c>
      <c r="AF66" s="213" t="s">
        <v>313</v>
      </c>
      <c r="AG66" t="s">
        <v>374</v>
      </c>
    </row>
    <row r="67" spans="23:33" ht="12.75">
      <c r="W67">
        <v>1</v>
      </c>
      <c r="X67" s="209" t="s">
        <v>515</v>
      </c>
      <c r="Y67" s="213" t="s">
        <v>291</v>
      </c>
      <c r="Z67" t="s">
        <v>375</v>
      </c>
      <c r="AE67" s="209" t="s">
        <v>515</v>
      </c>
      <c r="AF67" s="213" t="s">
        <v>291</v>
      </c>
      <c r="AG67" t="s">
        <v>375</v>
      </c>
    </row>
    <row r="68" spans="23:33" ht="12.75">
      <c r="W68">
        <v>1</v>
      </c>
      <c r="X68" s="209" t="s">
        <v>517</v>
      </c>
      <c r="Y68" s="213" t="s">
        <v>516</v>
      </c>
      <c r="Z68" t="s">
        <v>376</v>
      </c>
      <c r="AE68" s="209" t="s">
        <v>517</v>
      </c>
      <c r="AF68" s="213" t="s">
        <v>516</v>
      </c>
      <c r="AG68" t="s">
        <v>376</v>
      </c>
    </row>
    <row r="69" spans="23:33" ht="12.75">
      <c r="W69">
        <v>1</v>
      </c>
      <c r="X69" s="209" t="s">
        <v>519</v>
      </c>
      <c r="Y69" s="213" t="s">
        <v>518</v>
      </c>
      <c r="Z69" t="s">
        <v>377</v>
      </c>
      <c r="AE69" s="209" t="s">
        <v>519</v>
      </c>
      <c r="AF69" s="213" t="s">
        <v>518</v>
      </c>
      <c r="AG69" t="s">
        <v>377</v>
      </c>
    </row>
    <row r="70" spans="23:33" ht="12.75">
      <c r="W70">
        <v>1</v>
      </c>
      <c r="X70" s="209" t="s">
        <v>521</v>
      </c>
      <c r="Y70" s="213" t="s">
        <v>520</v>
      </c>
      <c r="Z70" t="s">
        <v>378</v>
      </c>
      <c r="AE70" s="209" t="s">
        <v>521</v>
      </c>
      <c r="AF70" s="213" t="s">
        <v>520</v>
      </c>
      <c r="AG70" t="s">
        <v>378</v>
      </c>
    </row>
    <row r="71" spans="23:33" ht="12.75">
      <c r="W71">
        <v>1</v>
      </c>
      <c r="X71" s="209" t="s">
        <v>523</v>
      </c>
      <c r="Y71" s="213" t="s">
        <v>522</v>
      </c>
      <c r="Z71" t="s">
        <v>379</v>
      </c>
      <c r="AE71" s="209" t="s">
        <v>523</v>
      </c>
      <c r="AF71" s="213" t="s">
        <v>522</v>
      </c>
      <c r="AG71" t="s">
        <v>379</v>
      </c>
    </row>
    <row r="72" spans="23:33" ht="12.75">
      <c r="W72">
        <v>1</v>
      </c>
      <c r="X72" s="209" t="s">
        <v>525</v>
      </c>
      <c r="Y72" s="213" t="s">
        <v>524</v>
      </c>
      <c r="Z72" t="s">
        <v>380</v>
      </c>
      <c r="AE72" s="209" t="s">
        <v>525</v>
      </c>
      <c r="AF72" s="213" t="s">
        <v>524</v>
      </c>
      <c r="AG72" t="s">
        <v>380</v>
      </c>
    </row>
    <row r="73" spans="23:33" ht="12.75">
      <c r="W73">
        <v>1</v>
      </c>
      <c r="X73" s="209" t="s">
        <v>527</v>
      </c>
      <c r="Y73" s="213" t="s">
        <v>526</v>
      </c>
      <c r="Z73" t="s">
        <v>381</v>
      </c>
      <c r="AE73" s="209" t="s">
        <v>527</v>
      </c>
      <c r="AF73" s="213" t="s">
        <v>526</v>
      </c>
      <c r="AG73" t="s">
        <v>381</v>
      </c>
    </row>
    <row r="74" spans="23:33" ht="12.75">
      <c r="W74">
        <v>1</v>
      </c>
      <c r="X74" s="209" t="s">
        <v>529</v>
      </c>
      <c r="Y74" s="213" t="s">
        <v>528</v>
      </c>
      <c r="Z74" t="s">
        <v>382</v>
      </c>
      <c r="AE74" s="209" t="s">
        <v>529</v>
      </c>
      <c r="AF74" s="213" t="s">
        <v>528</v>
      </c>
      <c r="AG74" t="s">
        <v>382</v>
      </c>
    </row>
    <row r="75" spans="23:33" ht="12.75">
      <c r="W75">
        <v>1</v>
      </c>
      <c r="X75" s="209" t="s">
        <v>531</v>
      </c>
      <c r="Y75" s="213" t="s">
        <v>530</v>
      </c>
      <c r="Z75" t="s">
        <v>383</v>
      </c>
      <c r="AE75" s="209" t="s">
        <v>531</v>
      </c>
      <c r="AF75" s="213" t="s">
        <v>530</v>
      </c>
      <c r="AG75" t="s">
        <v>383</v>
      </c>
    </row>
    <row r="76" spans="23:33" ht="12.75">
      <c r="W76">
        <v>1</v>
      </c>
      <c r="X76" s="209" t="s">
        <v>533</v>
      </c>
      <c r="Y76" s="213" t="s">
        <v>532</v>
      </c>
      <c r="Z76" t="s">
        <v>384</v>
      </c>
      <c r="AE76" s="209" t="s">
        <v>533</v>
      </c>
      <c r="AF76" s="213" t="s">
        <v>532</v>
      </c>
      <c r="AG76" t="s">
        <v>384</v>
      </c>
    </row>
    <row r="77" spans="23:33" ht="12.75">
      <c r="W77">
        <v>1</v>
      </c>
      <c r="X77" s="209" t="s">
        <v>535</v>
      </c>
      <c r="Y77" s="213" t="s">
        <v>534</v>
      </c>
      <c r="Z77" t="s">
        <v>385</v>
      </c>
      <c r="AE77" s="209" t="s">
        <v>535</v>
      </c>
      <c r="AF77" s="213" t="s">
        <v>534</v>
      </c>
      <c r="AG77" t="s">
        <v>385</v>
      </c>
    </row>
    <row r="78" spans="23:33" ht="12.75">
      <c r="W78">
        <v>1</v>
      </c>
      <c r="X78" s="209" t="s">
        <v>536</v>
      </c>
      <c r="Y78" s="213">
        <v>4210006</v>
      </c>
      <c r="Z78" t="s">
        <v>386</v>
      </c>
      <c r="AE78" s="209" t="s">
        <v>536</v>
      </c>
      <c r="AF78" s="213">
        <v>4210006</v>
      </c>
      <c r="AG78" t="s">
        <v>386</v>
      </c>
    </row>
    <row r="79" spans="23:33" ht="12.75">
      <c r="W79">
        <v>1</v>
      </c>
      <c r="X79" s="209" t="s">
        <v>283</v>
      </c>
      <c r="Y79" s="213">
        <v>4221005</v>
      </c>
      <c r="Z79" t="s">
        <v>94</v>
      </c>
      <c r="AE79" s="209" t="s">
        <v>283</v>
      </c>
      <c r="AF79" s="213">
        <v>4221005</v>
      </c>
      <c r="AG79" t="s">
        <v>94</v>
      </c>
    </row>
    <row r="80" spans="23:33" ht="12.75">
      <c r="W80">
        <v>1</v>
      </c>
      <c r="X80" s="209" t="s">
        <v>284</v>
      </c>
      <c r="Y80" s="213">
        <v>4221009</v>
      </c>
      <c r="Z80" t="s">
        <v>95</v>
      </c>
      <c r="AE80" s="209" t="s">
        <v>284</v>
      </c>
      <c r="AF80" s="213">
        <v>4221009</v>
      </c>
      <c r="AG80" t="s">
        <v>95</v>
      </c>
    </row>
    <row r="81" spans="23:33" ht="12.75">
      <c r="W81">
        <v>1</v>
      </c>
      <c r="X81" s="209" t="s">
        <v>537</v>
      </c>
      <c r="Y81" s="213">
        <v>4242417</v>
      </c>
      <c r="Z81" t="s">
        <v>92</v>
      </c>
      <c r="AE81" s="209" t="s">
        <v>537</v>
      </c>
      <c r="AF81" s="213">
        <v>4242417</v>
      </c>
      <c r="AG81" t="s">
        <v>92</v>
      </c>
    </row>
    <row r="82" spans="23:33" ht="12.75">
      <c r="W82">
        <v>1</v>
      </c>
      <c r="X82" s="209" t="s">
        <v>539</v>
      </c>
      <c r="Y82" s="213" t="s">
        <v>538</v>
      </c>
      <c r="Z82" t="s">
        <v>90</v>
      </c>
      <c r="AE82" s="209" t="s">
        <v>539</v>
      </c>
      <c r="AF82" s="213" t="s">
        <v>538</v>
      </c>
      <c r="AG82" t="s">
        <v>90</v>
      </c>
    </row>
    <row r="83" spans="23:33" ht="12.75">
      <c r="W83">
        <v>1</v>
      </c>
      <c r="X83" s="209" t="s">
        <v>541</v>
      </c>
      <c r="Y83" s="213" t="s">
        <v>540</v>
      </c>
      <c r="Z83" t="s">
        <v>387</v>
      </c>
      <c r="AE83" s="209" t="s">
        <v>541</v>
      </c>
      <c r="AF83" s="213" t="s">
        <v>540</v>
      </c>
      <c r="AG83" t="s">
        <v>387</v>
      </c>
    </row>
    <row r="84" spans="23:33" ht="12.75">
      <c r="W84">
        <v>1</v>
      </c>
      <c r="X84" s="209" t="s">
        <v>543</v>
      </c>
      <c r="Y84" s="213" t="s">
        <v>542</v>
      </c>
      <c r="Z84" t="s">
        <v>91</v>
      </c>
      <c r="AE84" s="209" t="s">
        <v>543</v>
      </c>
      <c r="AF84" s="213" t="s">
        <v>542</v>
      </c>
      <c r="AG84" t="s">
        <v>91</v>
      </c>
    </row>
    <row r="85" spans="23:33" ht="12.75">
      <c r="W85">
        <v>1</v>
      </c>
      <c r="X85" s="209" t="s">
        <v>545</v>
      </c>
      <c r="Y85" s="213" t="s">
        <v>544</v>
      </c>
      <c r="Z85" t="s">
        <v>388</v>
      </c>
      <c r="AE85" s="209" t="s">
        <v>545</v>
      </c>
      <c r="AF85" s="213" t="s">
        <v>544</v>
      </c>
      <c r="AG85" t="s">
        <v>388</v>
      </c>
    </row>
    <row r="86" spans="23:33" ht="12.75">
      <c r="W86">
        <v>1</v>
      </c>
      <c r="X86" s="209" t="s">
        <v>546</v>
      </c>
      <c r="Y86" s="213" t="s">
        <v>311</v>
      </c>
      <c r="Z86" t="s">
        <v>89</v>
      </c>
      <c r="AE86" s="209" t="s">
        <v>546</v>
      </c>
      <c r="AF86" s="213" t="s">
        <v>311</v>
      </c>
      <c r="AG86" t="s">
        <v>89</v>
      </c>
    </row>
    <row r="87" spans="23:33" ht="12.75">
      <c r="W87">
        <v>1</v>
      </c>
      <c r="X87" s="209" t="s">
        <v>548</v>
      </c>
      <c r="Y87" s="213" t="s">
        <v>547</v>
      </c>
      <c r="Z87" t="s">
        <v>389</v>
      </c>
      <c r="AE87" s="209" t="s">
        <v>548</v>
      </c>
      <c r="AF87" s="213" t="s">
        <v>547</v>
      </c>
      <c r="AG87" t="s">
        <v>389</v>
      </c>
    </row>
    <row r="88" spans="23:33" ht="12.75">
      <c r="W88">
        <v>1</v>
      </c>
      <c r="X88" s="209" t="s">
        <v>550</v>
      </c>
      <c r="Y88" s="213" t="s">
        <v>549</v>
      </c>
      <c r="Z88" t="s">
        <v>390</v>
      </c>
      <c r="AE88" s="209" t="s">
        <v>550</v>
      </c>
      <c r="AF88" s="213" t="s">
        <v>549</v>
      </c>
      <c r="AG88" t="s">
        <v>390</v>
      </c>
    </row>
    <row r="89" spans="23:33" ht="12.75">
      <c r="W89">
        <v>1</v>
      </c>
      <c r="X89" s="209" t="s">
        <v>552</v>
      </c>
      <c r="Y89" s="213" t="s">
        <v>551</v>
      </c>
      <c r="Z89" t="s">
        <v>391</v>
      </c>
      <c r="AE89" s="209" t="s">
        <v>552</v>
      </c>
      <c r="AF89" s="213" t="s">
        <v>551</v>
      </c>
      <c r="AG89" t="s">
        <v>391</v>
      </c>
    </row>
    <row r="90" spans="23:33" ht="12.75">
      <c r="W90">
        <v>1</v>
      </c>
      <c r="X90" s="209" t="s">
        <v>554</v>
      </c>
      <c r="Y90" s="213" t="s">
        <v>553</v>
      </c>
      <c r="Z90" t="s">
        <v>392</v>
      </c>
      <c r="AE90" s="209" t="s">
        <v>554</v>
      </c>
      <c r="AF90" s="213" t="s">
        <v>553</v>
      </c>
      <c r="AG90" t="s">
        <v>392</v>
      </c>
    </row>
    <row r="91" spans="23:33" ht="12.75">
      <c r="W91">
        <v>1</v>
      </c>
      <c r="X91" s="209" t="s">
        <v>556</v>
      </c>
      <c r="Y91" s="213" t="s">
        <v>555</v>
      </c>
      <c r="Z91" t="s">
        <v>393</v>
      </c>
      <c r="AE91" s="209" t="s">
        <v>556</v>
      </c>
      <c r="AF91" s="213" t="s">
        <v>555</v>
      </c>
      <c r="AG91" t="s">
        <v>393</v>
      </c>
    </row>
    <row r="92" spans="23:33" ht="12.75">
      <c r="W92">
        <v>1</v>
      </c>
      <c r="X92" s="209" t="s">
        <v>558</v>
      </c>
      <c r="Y92" s="213" t="s">
        <v>557</v>
      </c>
      <c r="Z92" t="s">
        <v>394</v>
      </c>
      <c r="AE92" s="209" t="s">
        <v>558</v>
      </c>
      <c r="AF92" s="213" t="s">
        <v>557</v>
      </c>
      <c r="AG92" t="s">
        <v>394</v>
      </c>
    </row>
    <row r="93" spans="23:33" ht="12.75">
      <c r="W93">
        <v>1</v>
      </c>
      <c r="X93" s="209" t="s">
        <v>560</v>
      </c>
      <c r="Y93" s="213" t="s">
        <v>559</v>
      </c>
      <c r="Z93" t="s">
        <v>395</v>
      </c>
      <c r="AE93" s="209" t="s">
        <v>560</v>
      </c>
      <c r="AF93" s="213" t="s">
        <v>559</v>
      </c>
      <c r="AG93" t="s">
        <v>395</v>
      </c>
    </row>
    <row r="94" spans="23:33" ht="12.75">
      <c r="W94">
        <v>1</v>
      </c>
      <c r="X94" s="209" t="s">
        <v>562</v>
      </c>
      <c r="Y94" s="213" t="s">
        <v>561</v>
      </c>
      <c r="Z94" t="s">
        <v>396</v>
      </c>
      <c r="AE94" s="209" t="s">
        <v>562</v>
      </c>
      <c r="AF94" s="213" t="s">
        <v>561</v>
      </c>
      <c r="AG94" t="s">
        <v>396</v>
      </c>
    </row>
    <row r="95" spans="23:33" ht="12.75">
      <c r="W95">
        <v>1</v>
      </c>
      <c r="X95" s="209" t="s">
        <v>564</v>
      </c>
      <c r="Y95" s="213" t="s">
        <v>563</v>
      </c>
      <c r="Z95" t="s">
        <v>397</v>
      </c>
      <c r="AE95" s="209" t="s">
        <v>564</v>
      </c>
      <c r="AF95" s="213" t="s">
        <v>563</v>
      </c>
      <c r="AG95" t="s">
        <v>397</v>
      </c>
    </row>
    <row r="96" spans="23:33" ht="12.75">
      <c r="W96">
        <v>1</v>
      </c>
      <c r="X96" s="209" t="s">
        <v>566</v>
      </c>
      <c r="Y96" s="213" t="s">
        <v>565</v>
      </c>
      <c r="Z96" t="s">
        <v>398</v>
      </c>
      <c r="AE96" s="209" t="s">
        <v>566</v>
      </c>
      <c r="AF96" s="213" t="s">
        <v>565</v>
      </c>
      <c r="AG96" t="s">
        <v>398</v>
      </c>
    </row>
    <row r="97" spans="23:33" ht="12.75">
      <c r="W97">
        <v>1</v>
      </c>
      <c r="X97" s="209" t="s">
        <v>283</v>
      </c>
      <c r="Y97" s="213">
        <v>4221005</v>
      </c>
      <c r="Z97" t="s">
        <v>94</v>
      </c>
      <c r="AE97" s="209" t="s">
        <v>283</v>
      </c>
      <c r="AF97" s="213">
        <v>4221005</v>
      </c>
      <c r="AG97" t="s">
        <v>94</v>
      </c>
    </row>
    <row r="98" spans="23:33" ht="12.75">
      <c r="W98">
        <v>1</v>
      </c>
      <c r="X98" s="209" t="s">
        <v>284</v>
      </c>
      <c r="Y98" s="213">
        <v>4221009</v>
      </c>
      <c r="Z98" t="s">
        <v>95</v>
      </c>
      <c r="AE98" s="209" t="s">
        <v>284</v>
      </c>
      <c r="AF98" s="213">
        <v>4221009</v>
      </c>
      <c r="AG98" t="s">
        <v>95</v>
      </c>
    </row>
    <row r="99" spans="23:33" ht="12.75">
      <c r="W99">
        <v>1</v>
      </c>
      <c r="X99" s="209" t="s">
        <v>568</v>
      </c>
      <c r="Y99" s="213" t="s">
        <v>567</v>
      </c>
      <c r="Z99" t="s">
        <v>399</v>
      </c>
      <c r="AE99" s="209" t="s">
        <v>568</v>
      </c>
      <c r="AF99" s="213" t="s">
        <v>567</v>
      </c>
      <c r="AG99" t="s">
        <v>399</v>
      </c>
    </row>
    <row r="100" spans="23:33" ht="12.75">
      <c r="W100">
        <v>1</v>
      </c>
      <c r="X100" s="209" t="s">
        <v>570</v>
      </c>
      <c r="Y100" s="213" t="s">
        <v>569</v>
      </c>
      <c r="Z100" t="s">
        <v>400</v>
      </c>
      <c r="AE100" s="209" t="s">
        <v>570</v>
      </c>
      <c r="AF100" s="213" t="s">
        <v>569</v>
      </c>
      <c r="AG100" t="s">
        <v>400</v>
      </c>
    </row>
    <row r="101" spans="23:33" ht="12.75">
      <c r="W101">
        <v>1</v>
      </c>
      <c r="X101" s="209" t="s">
        <v>572</v>
      </c>
      <c r="Y101" s="213" t="s">
        <v>571</v>
      </c>
      <c r="Z101" t="s">
        <v>401</v>
      </c>
      <c r="AE101" s="209" t="s">
        <v>572</v>
      </c>
      <c r="AF101" s="213" t="s">
        <v>571</v>
      </c>
      <c r="AG101" t="s">
        <v>401</v>
      </c>
    </row>
    <row r="102" spans="23:33" ht="12.75">
      <c r="W102">
        <v>1</v>
      </c>
      <c r="X102" s="209" t="s">
        <v>574</v>
      </c>
      <c r="Y102" s="213" t="s">
        <v>573</v>
      </c>
      <c r="Z102" t="s">
        <v>402</v>
      </c>
      <c r="AE102" s="209" t="s">
        <v>574</v>
      </c>
      <c r="AF102" s="213" t="s">
        <v>573</v>
      </c>
      <c r="AG102" t="s">
        <v>402</v>
      </c>
    </row>
    <row r="103" spans="23:33" ht="12.75">
      <c r="W103">
        <v>1</v>
      </c>
      <c r="X103" s="209" t="s">
        <v>576</v>
      </c>
      <c r="Y103" s="213" t="s">
        <v>575</v>
      </c>
      <c r="Z103" t="s">
        <v>403</v>
      </c>
      <c r="AE103" s="209" t="s">
        <v>576</v>
      </c>
      <c r="AF103" s="213" t="s">
        <v>575</v>
      </c>
      <c r="AG103" t="s">
        <v>403</v>
      </c>
    </row>
    <row r="104" spans="23:33" ht="12.75">
      <c r="W104">
        <v>1</v>
      </c>
      <c r="X104" s="209" t="s">
        <v>577</v>
      </c>
      <c r="Y104" s="213">
        <v>9700</v>
      </c>
      <c r="Z104" t="s">
        <v>101</v>
      </c>
      <c r="AE104" s="209" t="s">
        <v>577</v>
      </c>
      <c r="AF104" s="213">
        <v>9700</v>
      </c>
      <c r="AG104" t="s">
        <v>101</v>
      </c>
    </row>
    <row r="105" spans="23:33" ht="12.75">
      <c r="W105">
        <v>1</v>
      </c>
      <c r="X105" s="209" t="s">
        <v>578</v>
      </c>
      <c r="Y105" s="213">
        <v>1482</v>
      </c>
      <c r="Z105" t="s">
        <v>96</v>
      </c>
      <c r="AE105" s="209" t="s">
        <v>578</v>
      </c>
      <c r="AF105" s="213">
        <v>1482</v>
      </c>
      <c r="AG105" t="s">
        <v>96</v>
      </c>
    </row>
    <row r="106" spans="23:33" ht="12.75">
      <c r="W106">
        <v>1</v>
      </c>
      <c r="X106" s="209" t="s">
        <v>580</v>
      </c>
      <c r="Y106" s="213" t="s">
        <v>579</v>
      </c>
      <c r="Z106" t="s">
        <v>404</v>
      </c>
      <c r="AE106" s="209" t="s">
        <v>580</v>
      </c>
      <c r="AF106" s="213" t="s">
        <v>579</v>
      </c>
      <c r="AG106" t="s">
        <v>404</v>
      </c>
    </row>
    <row r="107" spans="23:33" ht="12.75">
      <c r="W107">
        <v>1</v>
      </c>
      <c r="X107" s="209" t="s">
        <v>581</v>
      </c>
      <c r="Y107" s="213">
        <v>7079001</v>
      </c>
      <c r="Z107" t="s">
        <v>100</v>
      </c>
      <c r="AE107" s="209" t="s">
        <v>581</v>
      </c>
      <c r="AF107" s="213">
        <v>7079001</v>
      </c>
      <c r="AG107" t="s">
        <v>100</v>
      </c>
    </row>
    <row r="108" spans="24:33" ht="12.75">
      <c r="X108" s="209" t="s">
        <v>582</v>
      </c>
      <c r="Y108" s="213">
        <v>3120</v>
      </c>
      <c r="Z108" t="s">
        <v>99</v>
      </c>
      <c r="AE108" s="209" t="s">
        <v>582</v>
      </c>
      <c r="AF108" s="213">
        <v>3120</v>
      </c>
      <c r="AG108" t="s">
        <v>99</v>
      </c>
    </row>
    <row r="109" spans="24:33" ht="12.75">
      <c r="X109" s="209" t="s">
        <v>584</v>
      </c>
      <c r="Y109" s="213" t="s">
        <v>583</v>
      </c>
      <c r="Z109" t="s">
        <v>102</v>
      </c>
      <c r="AE109" s="209" t="s">
        <v>584</v>
      </c>
      <c r="AF109" s="213" t="s">
        <v>583</v>
      </c>
      <c r="AG109" t="s">
        <v>102</v>
      </c>
    </row>
    <row r="110" spans="24:33" ht="12.75">
      <c r="X110" s="209" t="s">
        <v>586</v>
      </c>
      <c r="Y110" s="213" t="s">
        <v>585</v>
      </c>
      <c r="Z110" t="s">
        <v>103</v>
      </c>
      <c r="AE110" s="209" t="s">
        <v>586</v>
      </c>
      <c r="AF110" s="213" t="s">
        <v>585</v>
      </c>
      <c r="AG110" t="s">
        <v>103</v>
      </c>
    </row>
    <row r="111" spans="24:33" ht="12.75">
      <c r="X111" s="209" t="s">
        <v>588</v>
      </c>
      <c r="Y111" s="213" t="s">
        <v>587</v>
      </c>
      <c r="Z111" t="s">
        <v>97</v>
      </c>
      <c r="AE111" s="209" t="s">
        <v>588</v>
      </c>
      <c r="AF111" s="213" t="s">
        <v>587</v>
      </c>
      <c r="AG111" t="s">
        <v>97</v>
      </c>
    </row>
    <row r="112" spans="24:33" ht="12.75">
      <c r="X112" s="209" t="s">
        <v>589</v>
      </c>
      <c r="Y112" s="213">
        <v>2801</v>
      </c>
      <c r="Z112" t="s">
        <v>105</v>
      </c>
      <c r="AE112" s="209" t="s">
        <v>589</v>
      </c>
      <c r="AF112" s="213">
        <v>2801</v>
      </c>
      <c r="AG112" t="s">
        <v>105</v>
      </c>
    </row>
    <row r="113" spans="24:33" ht="12.75">
      <c r="X113" s="209" t="s">
        <v>591</v>
      </c>
      <c r="Y113" s="213" t="s">
        <v>590</v>
      </c>
      <c r="Z113" t="s">
        <v>98</v>
      </c>
      <c r="AE113" s="209" t="s">
        <v>591</v>
      </c>
      <c r="AF113" s="213" t="s">
        <v>590</v>
      </c>
      <c r="AG113" t="s">
        <v>98</v>
      </c>
    </row>
    <row r="114" spans="24:33" ht="12.75">
      <c r="X114" s="209" t="s">
        <v>294</v>
      </c>
      <c r="Y114" s="213">
        <v>4200</v>
      </c>
      <c r="Z114" t="s">
        <v>106</v>
      </c>
      <c r="AE114" s="209" t="s">
        <v>294</v>
      </c>
      <c r="AF114" s="213">
        <v>4200</v>
      </c>
      <c r="AG114" t="s">
        <v>106</v>
      </c>
    </row>
    <row r="115" spans="24:33" ht="12.75">
      <c r="X115" s="209" t="s">
        <v>592</v>
      </c>
      <c r="Y115" s="213">
        <v>6400</v>
      </c>
      <c r="Z115" t="s">
        <v>405</v>
      </c>
      <c r="AE115" s="209" t="s">
        <v>592</v>
      </c>
      <c r="AF115" s="213">
        <v>6400</v>
      </c>
      <c r="AG115" t="s">
        <v>405</v>
      </c>
    </row>
    <row r="116" spans="24:33" ht="12.75">
      <c r="X116" s="209" t="s">
        <v>593</v>
      </c>
      <c r="Y116" s="213">
        <v>2800</v>
      </c>
      <c r="Z116" t="s">
        <v>104</v>
      </c>
      <c r="AE116" s="209" t="s">
        <v>593</v>
      </c>
      <c r="AF116" s="213">
        <v>2800</v>
      </c>
      <c r="AG116" t="s">
        <v>104</v>
      </c>
    </row>
    <row r="117" spans="24:31" ht="12.75">
      <c r="X117" s="209" t="s">
        <v>594</v>
      </c>
      <c r="Y117" t="s">
        <v>595</v>
      </c>
      <c r="Z117" t="s">
        <v>417</v>
      </c>
      <c r="AE117" s="210"/>
    </row>
    <row r="118" spans="24:33" ht="12.75">
      <c r="X118" s="209" t="s">
        <v>596</v>
      </c>
      <c r="Y118" t="s">
        <v>595</v>
      </c>
      <c r="Z118" t="s">
        <v>418</v>
      </c>
      <c r="AE118" s="209" t="s">
        <v>416</v>
      </c>
      <c r="AG118" t="s">
        <v>416</v>
      </c>
    </row>
    <row r="119" spans="24:33" ht="12.75">
      <c r="X119" s="190" t="s">
        <v>474</v>
      </c>
      <c r="Y119" s="190" t="s">
        <v>287</v>
      </c>
      <c r="Z119" s="190" t="s">
        <v>637</v>
      </c>
      <c r="AE119" s="209" t="s">
        <v>417</v>
      </c>
      <c r="AG119" t="s">
        <v>417</v>
      </c>
    </row>
    <row r="120" spans="24:33" ht="12.75">
      <c r="X120" s="190"/>
      <c r="Y120" s="190"/>
      <c r="Z120" s="190"/>
      <c r="AE120" s="209" t="s">
        <v>418</v>
      </c>
      <c r="AG120" t="s">
        <v>418</v>
      </c>
    </row>
    <row r="121" spans="24:26" ht="12.75">
      <c r="X121" s="190"/>
      <c r="Y121" s="190"/>
      <c r="Z121" s="190"/>
    </row>
    <row r="122" spans="24:26" ht="12.75">
      <c r="X122" s="190"/>
      <c r="Y122" s="190"/>
      <c r="Z122" s="190"/>
    </row>
    <row r="123" spans="24:26" ht="12.75">
      <c r="X123" s="190"/>
      <c r="Y123" s="190"/>
      <c r="Z123" s="190"/>
    </row>
    <row r="124" spans="24:26" ht="12.75">
      <c r="X124" s="190"/>
      <c r="Y124" s="190"/>
      <c r="Z124" s="190"/>
    </row>
    <row r="125" spans="24:26" ht="12.75">
      <c r="X125" s="190"/>
      <c r="Y125" s="190"/>
      <c r="Z125" s="190"/>
    </row>
    <row r="126" spans="24:26" ht="12.75">
      <c r="X126" s="190"/>
      <c r="Y126" s="190"/>
      <c r="Z126" s="190"/>
    </row>
  </sheetData>
  <sheetProtection/>
  <mergeCells count="26">
    <mergeCell ref="D6:F6"/>
    <mergeCell ref="G6:H6"/>
    <mergeCell ref="I6:K6"/>
    <mergeCell ref="A48:B48"/>
    <mergeCell ref="D1:G1"/>
    <mergeCell ref="H1:K1"/>
    <mergeCell ref="B3:D3"/>
    <mergeCell ref="F3:G3"/>
    <mergeCell ref="H3:I3"/>
    <mergeCell ref="J3:K3"/>
    <mergeCell ref="A49:K49"/>
    <mergeCell ref="A4:B4"/>
    <mergeCell ref="C4:F4"/>
    <mergeCell ref="G4:H4"/>
    <mergeCell ref="I4:K4"/>
    <mergeCell ref="A5:C5"/>
    <mergeCell ref="D5:F5"/>
    <mergeCell ref="G5:H5"/>
    <mergeCell ref="I5:K5"/>
    <mergeCell ref="A6:C6"/>
    <mergeCell ref="A50:E50"/>
    <mergeCell ref="F50:F52"/>
    <mergeCell ref="G50:H50"/>
    <mergeCell ref="J50:K52"/>
    <mergeCell ref="D51:E51"/>
    <mergeCell ref="D52:E52"/>
  </mergeCells>
  <dataValidations count="2">
    <dataValidation allowBlank="1" sqref="G8:G47"/>
    <dataValidation type="date" operator="greaterThan" allowBlank="1" showInputMessage="1" showErrorMessage="1" error="Datum je zadáno v chybném formátu" sqref="I4:K4">
      <formula1>42370</formula1>
    </dataValidation>
  </dataValidations>
  <printOptions/>
  <pageMargins left="0.57" right="0.5" top="0.71" bottom="0.787401575" header="0.35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view="pageBreakPreview" zoomScaleSheetLayoutView="100" zoomScalePageLayoutView="0" workbookViewId="0" topLeftCell="A1">
      <selection activeCell="J65" sqref="J65"/>
    </sheetView>
  </sheetViews>
  <sheetFormatPr defaultColWidth="9.140625" defaultRowHeight="12.75"/>
  <cols>
    <col min="1" max="1" width="2.421875" style="1" customWidth="1"/>
    <col min="2" max="3" width="2.421875" style="2" customWidth="1"/>
    <col min="4" max="4" width="6.140625" style="2" customWidth="1"/>
    <col min="5" max="5" width="4.00390625" style="2" customWidth="1"/>
    <col min="6" max="6" width="3.140625" style="2" customWidth="1"/>
    <col min="7" max="7" width="2.421875" style="2" customWidth="1"/>
    <col min="8" max="8" width="2.8515625" style="3" customWidth="1"/>
    <col min="9" max="9" width="3.140625" style="3" customWidth="1"/>
    <col min="10" max="10" width="3.00390625" style="3" customWidth="1"/>
    <col min="11" max="40" width="2.421875" style="3" customWidth="1"/>
    <col min="41" max="16384" width="9.140625" style="130" customWidth="1"/>
  </cols>
  <sheetData>
    <row r="1" spans="1:40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3.25">
      <c r="A2" s="104" t="s">
        <v>241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15"/>
    </row>
    <row r="3" spans="1:41" ht="15.75">
      <c r="A3" s="355" t="s">
        <v>239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11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5"/>
      <c r="AJ3" s="15"/>
      <c r="AK3" s="15"/>
      <c r="AL3" s="15"/>
      <c r="AM3" s="15"/>
      <c r="AN3" s="15"/>
      <c r="AO3" s="131"/>
    </row>
    <row r="4" spans="1:40" ht="32.25" customHeight="1">
      <c r="A4" s="15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5" t="str">
        <f>Objednávka!AA4</f>
        <v>platnost od 15.1.2024 (v3.0)</v>
      </c>
      <c r="Y4" s="113"/>
      <c r="AA4" s="130"/>
      <c r="AB4" s="115"/>
      <c r="AC4" s="115"/>
      <c r="AD4" s="115"/>
      <c r="AE4" s="115"/>
      <c r="AF4" s="115"/>
      <c r="AG4" s="115"/>
      <c r="AH4" s="115"/>
      <c r="AI4" s="116"/>
      <c r="AJ4" s="116"/>
      <c r="AK4" s="116"/>
      <c r="AL4" s="116"/>
      <c r="AM4" s="116"/>
      <c r="AN4" s="15"/>
    </row>
    <row r="5" spans="3:22" ht="12.75">
      <c r="C5" s="39" t="s">
        <v>222</v>
      </c>
      <c r="D5" s="13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V5" s="133"/>
    </row>
    <row r="6" spans="2:14" ht="12.75">
      <c r="B6" s="130"/>
      <c r="C6" s="14" t="s">
        <v>223</v>
      </c>
      <c r="D6" s="14"/>
      <c r="E6" s="39" t="s">
        <v>612</v>
      </c>
      <c r="H6" s="130"/>
      <c r="I6" s="30"/>
      <c r="J6" s="30"/>
      <c r="L6" s="2"/>
      <c r="M6" s="2"/>
      <c r="N6" s="2"/>
    </row>
    <row r="7" spans="3:32" ht="12.75"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39"/>
      <c r="AE7" s="132"/>
      <c r="AF7" s="39"/>
    </row>
    <row r="8" spans="3:30" ht="12.75">
      <c r="C8" s="114" t="s">
        <v>258</v>
      </c>
      <c r="D8" s="4"/>
      <c r="E8" s="4"/>
      <c r="F8" s="4"/>
      <c r="G8" s="4"/>
      <c r="H8" s="4"/>
      <c r="I8" s="4"/>
      <c r="J8" s="2"/>
      <c r="K8" s="130"/>
      <c r="L8" s="130"/>
      <c r="M8" s="130"/>
      <c r="N8" s="130"/>
      <c r="O8" s="130"/>
      <c r="P8" s="130"/>
      <c r="Q8" s="134" t="s">
        <v>224</v>
      </c>
      <c r="R8" s="134"/>
      <c r="S8" s="134"/>
      <c r="T8" s="134"/>
      <c r="U8" s="134"/>
      <c r="V8" s="130"/>
      <c r="W8" s="130"/>
      <c r="X8" s="130"/>
      <c r="Y8" s="130"/>
      <c r="Z8" s="130"/>
      <c r="AA8" s="130"/>
      <c r="AB8" s="130"/>
      <c r="AC8" s="130"/>
      <c r="AD8" s="2"/>
    </row>
    <row r="9" spans="3:32" ht="15.75">
      <c r="C9" s="220"/>
      <c r="D9" s="221" t="s">
        <v>225</v>
      </c>
      <c r="E9" s="221"/>
      <c r="F9" s="222"/>
      <c r="G9" s="215"/>
      <c r="H9" s="215"/>
      <c r="I9" s="215"/>
      <c r="J9" s="215"/>
      <c r="K9" s="223"/>
      <c r="L9" s="223"/>
      <c r="M9" s="224"/>
      <c r="P9" s="130"/>
      <c r="Q9" s="3" t="s">
        <v>607</v>
      </c>
      <c r="AE9" s="2"/>
      <c r="AF9" s="2"/>
    </row>
    <row r="10" spans="3:31" ht="12.75">
      <c r="C10" s="226">
        <v>1</v>
      </c>
      <c r="D10" s="227">
        <v>2676.8382</v>
      </c>
      <c r="E10" s="221" t="s">
        <v>226</v>
      </c>
      <c r="F10" s="228" t="s">
        <v>227</v>
      </c>
      <c r="G10" s="228"/>
      <c r="H10" s="228"/>
      <c r="I10" s="228"/>
      <c r="J10" s="228"/>
      <c r="K10" s="228"/>
      <c r="L10" s="215"/>
      <c r="M10" s="216"/>
      <c r="N10" s="2"/>
      <c r="P10" s="130"/>
      <c r="Q10" s="130"/>
      <c r="R10" s="130"/>
      <c r="S10" s="29"/>
      <c r="T10" s="130"/>
      <c r="U10" s="2"/>
      <c r="AD10" s="2"/>
      <c r="AE10" s="2"/>
    </row>
    <row r="11" spans="3:32" ht="12.75">
      <c r="C11" s="229">
        <v>2</v>
      </c>
      <c r="D11" s="110">
        <v>2953.125</v>
      </c>
      <c r="E11" s="142" t="s">
        <v>226</v>
      </c>
      <c r="F11" s="141" t="s">
        <v>228</v>
      </c>
      <c r="G11" s="141"/>
      <c r="H11" s="141"/>
      <c r="I11" s="141"/>
      <c r="J11" s="142"/>
      <c r="K11" s="142"/>
      <c r="L11" s="131"/>
      <c r="M11" s="217"/>
      <c r="O11" s="130"/>
      <c r="P11" s="130"/>
      <c r="R11" s="107" t="s">
        <v>229</v>
      </c>
      <c r="S11" s="108"/>
      <c r="T11" s="109" t="s">
        <v>606</v>
      </c>
      <c r="U11" s="110"/>
      <c r="V11" s="110"/>
      <c r="AE11" s="110"/>
      <c r="AF11" s="110"/>
    </row>
    <row r="12" spans="3:32" ht="12.75">
      <c r="C12" s="229">
        <v>3</v>
      </c>
      <c r="D12" s="135">
        <v>3169.8529</v>
      </c>
      <c r="E12" s="142" t="s">
        <v>226</v>
      </c>
      <c r="F12" s="141" t="s">
        <v>228</v>
      </c>
      <c r="G12" s="141"/>
      <c r="H12" s="141"/>
      <c r="I12" s="141"/>
      <c r="J12" s="142"/>
      <c r="K12" s="142"/>
      <c r="L12" s="131"/>
      <c r="M12" s="217"/>
      <c r="P12" s="110"/>
      <c r="Q12" s="110"/>
      <c r="R12" s="110"/>
      <c r="S12" s="110"/>
      <c r="T12" s="110"/>
      <c r="U12" s="110"/>
      <c r="AD12" s="110"/>
      <c r="AE12" s="110"/>
      <c r="AF12" s="110"/>
    </row>
    <row r="13" spans="3:32" ht="12.75">
      <c r="C13" s="229">
        <v>4</v>
      </c>
      <c r="D13" s="110">
        <v>3366.7279</v>
      </c>
      <c r="E13" s="142" t="s">
        <v>226</v>
      </c>
      <c r="F13" s="141" t="s">
        <v>228</v>
      </c>
      <c r="G13" s="141"/>
      <c r="H13" s="141"/>
      <c r="I13" s="141"/>
      <c r="J13" s="142"/>
      <c r="K13" s="142"/>
      <c r="L13" s="131"/>
      <c r="M13" s="217"/>
      <c r="P13" s="110"/>
      <c r="Q13" s="110"/>
      <c r="R13" s="110"/>
      <c r="S13" s="110"/>
      <c r="T13" s="110"/>
      <c r="U13" s="110"/>
      <c r="AD13" s="110"/>
      <c r="AE13" s="110"/>
      <c r="AF13" s="110"/>
    </row>
    <row r="14" spans="3:32" ht="12.75">
      <c r="C14" s="229">
        <v>5</v>
      </c>
      <c r="D14" s="225">
        <v>3633.0882</v>
      </c>
      <c r="E14" s="142" t="s">
        <v>226</v>
      </c>
      <c r="F14" s="141" t="s">
        <v>332</v>
      </c>
      <c r="G14" s="141"/>
      <c r="H14" s="141"/>
      <c r="I14" s="141"/>
      <c r="J14" s="142"/>
      <c r="K14" s="142"/>
      <c r="L14" s="131"/>
      <c r="M14" s="217"/>
      <c r="P14" s="110"/>
      <c r="Q14" s="110"/>
      <c r="R14" s="110"/>
      <c r="S14" s="110"/>
      <c r="T14" s="110"/>
      <c r="U14" s="110"/>
      <c r="AD14" s="110"/>
      <c r="AE14" s="110"/>
      <c r="AF14" s="110"/>
    </row>
    <row r="15" spans="3:32" ht="12.75">
      <c r="C15" s="229">
        <v>6</v>
      </c>
      <c r="D15" s="225">
        <v>4016.9118</v>
      </c>
      <c r="E15" s="142" t="s">
        <v>226</v>
      </c>
      <c r="F15" s="141" t="s">
        <v>605</v>
      </c>
      <c r="G15" s="141"/>
      <c r="H15" s="141"/>
      <c r="I15" s="141"/>
      <c r="J15" s="142"/>
      <c r="K15" s="142"/>
      <c r="L15" s="131"/>
      <c r="M15" s="217"/>
      <c r="P15" s="110"/>
      <c r="Q15" s="110"/>
      <c r="R15" s="110"/>
      <c r="S15" s="110"/>
      <c r="T15" s="110"/>
      <c r="U15" s="110"/>
      <c r="AD15" s="110"/>
      <c r="AE15" s="110"/>
      <c r="AF15" s="110"/>
    </row>
    <row r="16" spans="3:32" ht="12.75">
      <c r="C16" s="230">
        <v>7</v>
      </c>
      <c r="D16" s="231">
        <v>4184.0074</v>
      </c>
      <c r="E16" s="232" t="s">
        <v>226</v>
      </c>
      <c r="F16" s="233" t="s">
        <v>604</v>
      </c>
      <c r="G16" s="233"/>
      <c r="H16" s="233"/>
      <c r="I16" s="233"/>
      <c r="J16" s="234"/>
      <c r="K16" s="234"/>
      <c r="L16" s="218"/>
      <c r="M16" s="219"/>
      <c r="P16" s="110"/>
      <c r="Q16" s="110"/>
      <c r="R16" s="110"/>
      <c r="S16" s="110"/>
      <c r="T16" s="110"/>
      <c r="U16" s="110"/>
      <c r="AD16" s="110"/>
      <c r="AE16" s="110"/>
      <c r="AF16" s="110"/>
    </row>
    <row r="17" spans="3:32" ht="12.75">
      <c r="C17" s="110"/>
      <c r="D17" s="110"/>
      <c r="E17" s="110"/>
      <c r="F17" s="110"/>
      <c r="G17" s="130"/>
      <c r="H17" s="130"/>
      <c r="I17" s="130"/>
      <c r="J17" s="130"/>
      <c r="P17" s="110"/>
      <c r="Q17" s="110"/>
      <c r="R17" s="110"/>
      <c r="S17" s="110"/>
      <c r="T17" s="110"/>
      <c r="U17" s="110"/>
      <c r="AD17" s="110"/>
      <c r="AE17" s="110"/>
      <c r="AF17" s="110"/>
    </row>
    <row r="18" spans="3:32" ht="12.75">
      <c r="C18" s="134" t="s">
        <v>240</v>
      </c>
      <c r="D18" s="130"/>
      <c r="E18" s="130"/>
      <c r="F18" s="130"/>
      <c r="G18" s="130"/>
      <c r="H18" s="130"/>
      <c r="I18" s="130"/>
      <c r="J18" s="130"/>
      <c r="K18" s="130"/>
      <c r="L18" s="136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6"/>
      <c r="X18" s="130"/>
      <c r="Y18" s="130"/>
      <c r="Z18" s="130"/>
      <c r="AD18" s="2"/>
      <c r="AE18" s="2"/>
      <c r="AF18" s="2"/>
    </row>
    <row r="19" spans="3:32" ht="13.5" customHeight="1">
      <c r="C19" s="137" t="s">
        <v>230</v>
      </c>
      <c r="D19" s="138"/>
      <c r="E19" s="131"/>
      <c r="F19" s="138"/>
      <c r="G19" s="139"/>
      <c r="H19" s="131"/>
      <c r="I19" s="140"/>
      <c r="J19" s="140"/>
      <c r="K19" s="140"/>
      <c r="L19" s="138"/>
      <c r="M19" s="131"/>
      <c r="N19" s="138"/>
      <c r="O19" s="138"/>
      <c r="P19" s="131"/>
      <c r="Q19" s="138"/>
      <c r="R19" s="139"/>
      <c r="S19" s="131"/>
      <c r="T19" s="140"/>
      <c r="U19" s="140"/>
      <c r="V19" s="140"/>
      <c r="W19" s="138"/>
      <c r="X19" s="131"/>
      <c r="Y19" s="138"/>
      <c r="Z19" s="138"/>
      <c r="AD19" s="39"/>
      <c r="AE19" s="132"/>
      <c r="AF19" s="39"/>
    </row>
    <row r="20" spans="3:33" ht="12.75">
      <c r="C20" s="109" t="s">
        <v>231</v>
      </c>
      <c r="D20" s="109"/>
      <c r="E20" s="141"/>
      <c r="F20" s="142"/>
      <c r="G20" s="141"/>
      <c r="H20" s="141"/>
      <c r="I20" s="142"/>
      <c r="J20" s="142"/>
      <c r="K20" s="142"/>
      <c r="L20" s="109"/>
      <c r="M20" s="141"/>
      <c r="N20" s="109"/>
      <c r="O20" s="109"/>
      <c r="P20" s="141"/>
      <c r="Q20" s="142"/>
      <c r="R20" s="141"/>
      <c r="S20" s="141"/>
      <c r="T20" s="105"/>
      <c r="U20" s="105"/>
      <c r="V20" s="105"/>
      <c r="W20" s="143"/>
      <c r="X20" s="131"/>
      <c r="Y20" s="143"/>
      <c r="Z20" s="143"/>
      <c r="AA20" s="130"/>
      <c r="AB20" s="130"/>
      <c r="AC20" s="130"/>
      <c r="AD20" s="130"/>
      <c r="AE20" s="130"/>
      <c r="AF20" s="130"/>
      <c r="AG20" s="130"/>
    </row>
    <row r="21" spans="1:33" ht="13.5" customHeight="1">
      <c r="A21" s="136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/>
      <c r="AB21" s="138"/>
      <c r="AC21" s="139"/>
      <c r="AD21" s="131"/>
      <c r="AE21" s="140"/>
      <c r="AF21" s="140"/>
      <c r="AG21" s="140"/>
    </row>
    <row r="22" spans="1:33" ht="13.5" customHeight="1">
      <c r="A22" s="138"/>
      <c r="B22" s="131"/>
      <c r="C22" s="143" t="s">
        <v>615</v>
      </c>
      <c r="D22" s="143"/>
      <c r="E22" s="131"/>
      <c r="F22" s="105"/>
      <c r="G22" s="131"/>
      <c r="H22" s="131"/>
      <c r="I22" s="105"/>
      <c r="J22" s="105"/>
      <c r="K22" s="105"/>
      <c r="L22" s="143"/>
      <c r="M22" s="131"/>
      <c r="N22" s="143"/>
      <c r="O22" s="143"/>
      <c r="P22" s="131"/>
      <c r="Q22" s="105"/>
      <c r="R22" s="131"/>
      <c r="S22" s="131"/>
      <c r="T22" s="105"/>
      <c r="U22" s="105"/>
      <c r="V22" s="105"/>
      <c r="W22" s="143"/>
      <c r="X22" s="131"/>
      <c r="Y22" s="143"/>
      <c r="Z22" s="143"/>
      <c r="AA22" s="131"/>
      <c r="AB22" s="105"/>
      <c r="AC22" s="131"/>
      <c r="AD22" s="131"/>
      <c r="AE22" s="105"/>
      <c r="AF22" s="105"/>
      <c r="AG22" s="105"/>
    </row>
    <row r="23" spans="1:33" ht="13.5" customHeight="1">
      <c r="A23" s="143"/>
      <c r="B23" s="131"/>
      <c r="C23" s="144" t="s">
        <v>616</v>
      </c>
      <c r="D23" s="143"/>
      <c r="E23" s="131"/>
      <c r="F23" s="105"/>
      <c r="G23" s="131"/>
      <c r="H23" s="131"/>
      <c r="I23" s="105"/>
      <c r="J23" s="105"/>
      <c r="K23" s="105"/>
      <c r="L23" s="143"/>
      <c r="M23" s="131"/>
      <c r="N23" s="144"/>
      <c r="O23" s="143"/>
      <c r="P23" s="131"/>
      <c r="Q23" s="105"/>
      <c r="R23" s="131"/>
      <c r="S23" s="131"/>
      <c r="T23" s="105"/>
      <c r="U23" s="105"/>
      <c r="V23" s="105"/>
      <c r="W23" s="143"/>
      <c r="X23" s="131"/>
      <c r="Y23" s="144"/>
      <c r="Z23" s="143"/>
      <c r="AA23" s="131"/>
      <c r="AB23" s="105"/>
      <c r="AC23" s="131"/>
      <c r="AD23" s="131"/>
      <c r="AE23" s="105"/>
      <c r="AF23" s="105"/>
      <c r="AG23" s="105"/>
    </row>
    <row r="24" spans="1:33" ht="12.75">
      <c r="A24" s="143"/>
      <c r="B24" s="131"/>
      <c r="C24" s="144" t="s">
        <v>232</v>
      </c>
      <c r="D24" s="143"/>
      <c r="E24" s="131"/>
      <c r="F24" s="105"/>
      <c r="G24" s="131"/>
      <c r="H24" s="131"/>
      <c r="I24" s="105"/>
      <c r="J24" s="105"/>
      <c r="K24" s="105"/>
      <c r="L24" s="143"/>
      <c r="M24" s="131"/>
      <c r="N24" s="144"/>
      <c r="O24" s="143"/>
      <c r="P24" s="131"/>
      <c r="Q24" s="105"/>
      <c r="R24" s="131"/>
      <c r="S24" s="131"/>
      <c r="T24" s="105"/>
      <c r="U24" s="105"/>
      <c r="V24" s="105"/>
      <c r="W24" s="143"/>
      <c r="X24" s="131"/>
      <c r="Y24" s="144"/>
      <c r="Z24" s="143"/>
      <c r="AA24" s="131"/>
      <c r="AB24" s="105"/>
      <c r="AC24" s="131"/>
      <c r="AD24" s="131"/>
      <c r="AE24" s="105"/>
      <c r="AF24" s="105"/>
      <c r="AG24" s="130"/>
    </row>
    <row r="25" spans="1:33" ht="12.75">
      <c r="A25" s="143"/>
      <c r="B25" s="131"/>
      <c r="C25" s="130" t="s">
        <v>233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05"/>
      <c r="AG25" s="105"/>
    </row>
    <row r="26" spans="3:31" ht="12.75">
      <c r="C26" s="130" t="s">
        <v>601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1:33" ht="12.75">
      <c r="A27" s="143"/>
      <c r="B27" s="131"/>
      <c r="C27" s="130" t="s">
        <v>617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05"/>
      <c r="AG27" s="105"/>
    </row>
    <row r="28" spans="1:33" ht="12.75">
      <c r="A28" s="143"/>
      <c r="B28" s="131"/>
      <c r="C28" s="130" t="s">
        <v>234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05"/>
      <c r="AG28" s="105"/>
    </row>
    <row r="29" spans="1:33" ht="12.75">
      <c r="A29" s="143"/>
      <c r="B29" s="131"/>
      <c r="C29" s="130" t="s">
        <v>235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05"/>
      <c r="AG29" s="105"/>
    </row>
    <row r="30" spans="1:33" ht="12.75">
      <c r="A30" s="143"/>
      <c r="B30" s="131"/>
      <c r="C30" s="130" t="s">
        <v>619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05"/>
    </row>
    <row r="31" spans="1:33" ht="12.75">
      <c r="A31" s="143"/>
      <c r="B31" s="131"/>
      <c r="C31" s="130" t="s">
        <v>618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05"/>
    </row>
    <row r="32" spans="1:37" ht="12.75">
      <c r="A32" s="143"/>
      <c r="B32" s="131"/>
      <c r="C32" s="145" t="s">
        <v>620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</row>
    <row r="33" spans="1:37" ht="12.75">
      <c r="A33" s="143"/>
      <c r="B33" s="131"/>
      <c r="C33" s="145" t="s">
        <v>236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</row>
    <row r="34" spans="1:33" ht="12.75">
      <c r="A34" s="143"/>
      <c r="B34" s="131"/>
      <c r="C34" s="130" t="s">
        <v>621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40"/>
      <c r="AG34" s="130"/>
    </row>
    <row r="35" spans="1:33" ht="12.75">
      <c r="A35" s="143"/>
      <c r="B35" s="131"/>
      <c r="C35" s="144"/>
      <c r="D35" s="143"/>
      <c r="E35" s="131"/>
      <c r="F35" s="105"/>
      <c r="G35" s="131"/>
      <c r="H35" s="131"/>
      <c r="I35" s="105"/>
      <c r="J35" s="105"/>
      <c r="K35" s="105"/>
      <c r="L35" s="143"/>
      <c r="M35" s="131"/>
      <c r="N35" s="144"/>
      <c r="O35" s="143"/>
      <c r="P35" s="131"/>
      <c r="Q35" s="105"/>
      <c r="R35" s="131"/>
      <c r="S35" s="131"/>
      <c r="T35" s="105"/>
      <c r="U35" s="105"/>
      <c r="V35" s="105"/>
      <c r="W35" s="143"/>
      <c r="X35" s="131"/>
      <c r="Y35" s="144"/>
      <c r="Z35" s="143"/>
      <c r="AA35" s="131"/>
      <c r="AB35" s="105"/>
      <c r="AC35" s="131"/>
      <c r="AD35" s="131"/>
      <c r="AE35" s="105"/>
      <c r="AF35" s="130"/>
      <c r="AG35" s="105"/>
    </row>
    <row r="36" spans="1:33" ht="12.75">
      <c r="A36" s="143"/>
      <c r="B36" s="131"/>
      <c r="C36" s="144" t="s">
        <v>237</v>
      </c>
      <c r="D36" s="143"/>
      <c r="E36" s="131"/>
      <c r="F36" s="105"/>
      <c r="G36" s="131"/>
      <c r="H36" s="131"/>
      <c r="I36" s="105"/>
      <c r="J36" s="105"/>
      <c r="K36" s="105"/>
      <c r="L36" s="143"/>
      <c r="M36" s="131"/>
      <c r="N36" s="144"/>
      <c r="O36" s="143"/>
      <c r="P36" s="131"/>
      <c r="Q36" s="105"/>
      <c r="R36" s="131"/>
      <c r="S36" s="131"/>
      <c r="T36" s="105"/>
      <c r="U36" s="105"/>
      <c r="V36" s="105"/>
      <c r="W36" s="143"/>
      <c r="X36" s="131"/>
      <c r="Y36" s="144"/>
      <c r="Z36" s="143"/>
      <c r="AA36" s="131"/>
      <c r="AB36" s="105"/>
      <c r="AC36" s="131"/>
      <c r="AD36" s="131"/>
      <c r="AE36" s="105"/>
      <c r="AF36" s="130"/>
      <c r="AG36" s="130"/>
    </row>
    <row r="37" spans="1:33" ht="12.75">
      <c r="A37" s="136"/>
      <c r="B37" s="130"/>
      <c r="C37" s="144" t="s">
        <v>622</v>
      </c>
      <c r="D37" s="143"/>
      <c r="E37" s="131"/>
      <c r="F37" s="105"/>
      <c r="G37" s="131"/>
      <c r="H37" s="131"/>
      <c r="I37" s="105"/>
      <c r="J37" s="105"/>
      <c r="K37" s="105"/>
      <c r="L37" s="143"/>
      <c r="M37" s="131"/>
      <c r="N37" s="144"/>
      <c r="O37" s="143"/>
      <c r="P37" s="131"/>
      <c r="Q37" s="105"/>
      <c r="R37" s="131"/>
      <c r="S37" s="131"/>
      <c r="T37" s="105"/>
      <c r="U37" s="105"/>
      <c r="V37" s="105"/>
      <c r="W37" s="143"/>
      <c r="X37" s="131"/>
      <c r="Y37" s="144"/>
      <c r="Z37" s="143"/>
      <c r="AA37" s="131"/>
      <c r="AB37" s="105"/>
      <c r="AC37" s="131"/>
      <c r="AD37" s="131"/>
      <c r="AE37" s="105"/>
      <c r="AF37" s="130"/>
      <c r="AG37" s="140"/>
    </row>
    <row r="38" spans="1:33" ht="12.75" customHeight="1">
      <c r="A38" s="138"/>
      <c r="B38" s="131"/>
      <c r="C38" s="191" t="s">
        <v>333</v>
      </c>
      <c r="D38" s="143"/>
      <c r="E38" s="131"/>
      <c r="F38" s="105"/>
      <c r="G38" s="131"/>
      <c r="H38" s="131"/>
      <c r="I38" s="105"/>
      <c r="J38" s="105"/>
      <c r="K38" s="105"/>
      <c r="L38" s="143"/>
      <c r="M38" s="131"/>
      <c r="N38" s="143"/>
      <c r="O38" s="143"/>
      <c r="P38" s="131"/>
      <c r="Q38" s="105"/>
      <c r="R38" s="131"/>
      <c r="S38" s="131"/>
      <c r="T38" s="105"/>
      <c r="U38" s="105"/>
      <c r="V38" s="105"/>
      <c r="W38" s="143"/>
      <c r="X38" s="131"/>
      <c r="Y38" s="143"/>
      <c r="Z38" s="143"/>
      <c r="AA38" s="131"/>
      <c r="AB38" s="105"/>
      <c r="AC38" s="131"/>
      <c r="AD38" s="131"/>
      <c r="AE38" s="105"/>
      <c r="AF38" s="130"/>
      <c r="AG38" s="130"/>
    </row>
    <row r="39" spans="3:31" ht="12.75">
      <c r="C39" s="130" t="s">
        <v>238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</row>
    <row r="40" spans="3:31" ht="12.75">
      <c r="C40" s="130" t="s">
        <v>613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</row>
    <row r="41" spans="3:31" ht="12.75">
      <c r="C41" s="109" t="s">
        <v>614</v>
      </c>
      <c r="D41" s="143"/>
      <c r="E41" s="131"/>
      <c r="F41" s="105"/>
      <c r="G41" s="131"/>
      <c r="H41" s="131"/>
      <c r="I41" s="105"/>
      <c r="J41" s="105"/>
      <c r="K41" s="105"/>
      <c r="L41" s="143"/>
      <c r="M41" s="131"/>
      <c r="N41" s="143"/>
      <c r="O41" s="143"/>
      <c r="P41" s="131"/>
      <c r="Q41" s="105"/>
      <c r="R41" s="131"/>
      <c r="S41" s="131"/>
      <c r="T41" s="105"/>
      <c r="U41" s="105"/>
      <c r="V41" s="105"/>
      <c r="W41" s="143"/>
      <c r="X41" s="131"/>
      <c r="Y41" s="143"/>
      <c r="Z41" s="143"/>
      <c r="AA41" s="131"/>
      <c r="AB41" s="105"/>
      <c r="AC41" s="131"/>
      <c r="AD41" s="131"/>
      <c r="AE41" s="105"/>
    </row>
    <row r="42" spans="3:31" ht="12.75">
      <c r="C42" s="30" t="s">
        <v>608</v>
      </c>
      <c r="D42" s="130"/>
      <c r="E42" s="130"/>
      <c r="F42" s="130"/>
      <c r="G42" s="130"/>
      <c r="H42" s="130"/>
      <c r="I42" s="130"/>
      <c r="J42" s="130"/>
      <c r="K42" s="130"/>
      <c r="L42" s="136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6"/>
      <c r="X42" s="130"/>
      <c r="Y42" s="130"/>
      <c r="Z42" s="130"/>
      <c r="AA42" s="130"/>
      <c r="AB42" s="130"/>
      <c r="AC42" s="130"/>
      <c r="AD42" s="130"/>
      <c r="AE42" s="130"/>
    </row>
    <row r="43" spans="3:31" ht="12.75">
      <c r="C43" s="30" t="s">
        <v>609</v>
      </c>
      <c r="D43" s="130"/>
      <c r="E43" s="130"/>
      <c r="F43" s="130"/>
      <c r="G43" s="130"/>
      <c r="H43" s="130"/>
      <c r="I43" s="130"/>
      <c r="J43" s="130"/>
      <c r="K43" s="130"/>
      <c r="L43" s="136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6"/>
      <c r="X43" s="130"/>
      <c r="Y43" s="130"/>
      <c r="Z43" s="130"/>
      <c r="AA43" s="130"/>
      <c r="AB43" s="130"/>
      <c r="AC43" s="130"/>
      <c r="AD43" s="130"/>
      <c r="AE43" s="130"/>
    </row>
    <row r="44" spans="3:31" ht="12.75">
      <c r="C44" s="39" t="s">
        <v>610</v>
      </c>
      <c r="D44" s="130"/>
      <c r="E44" s="130"/>
      <c r="F44" s="130"/>
      <c r="G44" s="130"/>
      <c r="H44" s="130"/>
      <c r="I44" s="130"/>
      <c r="J44" s="130"/>
      <c r="K44" s="130"/>
      <c r="L44" s="235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235"/>
      <c r="X44" s="130"/>
      <c r="Y44" s="130"/>
      <c r="Z44" s="130"/>
      <c r="AA44" s="130"/>
      <c r="AB44" s="130"/>
      <c r="AC44" s="130"/>
      <c r="AD44" s="130"/>
      <c r="AE44" s="130"/>
    </row>
    <row r="45" spans="3:31" ht="12.75">
      <c r="C45" s="130" t="s">
        <v>611</v>
      </c>
      <c r="D45" s="138"/>
      <c r="E45" s="131"/>
      <c r="F45" s="138"/>
      <c r="G45" s="139"/>
      <c r="H45" s="131"/>
      <c r="I45" s="140"/>
      <c r="J45" s="140"/>
      <c r="K45" s="140"/>
      <c r="L45" s="138"/>
      <c r="M45" s="131"/>
      <c r="N45" s="138"/>
      <c r="O45" s="138"/>
      <c r="P45" s="131"/>
      <c r="Q45" s="138"/>
      <c r="R45" s="139"/>
      <c r="S45" s="131"/>
      <c r="T45" s="140"/>
      <c r="U45" s="140"/>
      <c r="V45" s="140"/>
      <c r="W45" s="138"/>
      <c r="X45" s="131"/>
      <c r="Y45" s="138"/>
      <c r="Z45" s="138"/>
      <c r="AA45" s="131"/>
      <c r="AB45" s="138"/>
      <c r="AC45" s="139"/>
      <c r="AD45" s="131"/>
      <c r="AE45" s="140"/>
    </row>
    <row r="46" spans="3:31" ht="12.75">
      <c r="C46" s="130" t="s">
        <v>623</v>
      </c>
      <c r="D46" s="138"/>
      <c r="E46" s="131"/>
      <c r="F46" s="138"/>
      <c r="G46" s="139"/>
      <c r="H46" s="131"/>
      <c r="I46" s="140"/>
      <c r="J46" s="140"/>
      <c r="K46" s="140"/>
      <c r="L46" s="138"/>
      <c r="M46" s="131"/>
      <c r="N46" s="138"/>
      <c r="O46" s="138"/>
      <c r="P46" s="131"/>
      <c r="Q46" s="138"/>
      <c r="R46" s="139"/>
      <c r="S46" s="131"/>
      <c r="T46" s="140"/>
      <c r="U46" s="140"/>
      <c r="V46" s="140"/>
      <c r="W46" s="138"/>
      <c r="X46" s="131"/>
      <c r="Y46" s="138"/>
      <c r="Z46" s="138"/>
      <c r="AA46" s="131"/>
      <c r="AB46" s="138"/>
      <c r="AC46" s="139"/>
      <c r="AD46" s="131"/>
      <c r="AE46" s="140"/>
    </row>
    <row r="47" spans="3:31" ht="12.75">
      <c r="C47" s="137" t="s">
        <v>626</v>
      </c>
      <c r="D47" s="138"/>
      <c r="E47" s="131"/>
      <c r="F47" s="138"/>
      <c r="G47" s="139"/>
      <c r="H47" s="131"/>
      <c r="I47" s="140"/>
      <c r="J47" s="140"/>
      <c r="K47" s="140"/>
      <c r="L47" s="138"/>
      <c r="M47" s="131"/>
      <c r="N47" s="138"/>
      <c r="O47" s="138"/>
      <c r="P47" s="131"/>
      <c r="Q47" s="138"/>
      <c r="R47" s="139"/>
      <c r="S47" s="131"/>
      <c r="T47" s="140"/>
      <c r="U47" s="140"/>
      <c r="V47" s="140"/>
      <c r="W47" s="138"/>
      <c r="X47" s="131"/>
      <c r="Y47" s="138"/>
      <c r="Z47" s="138"/>
      <c r="AA47" s="131"/>
      <c r="AB47" s="138"/>
      <c r="AC47" s="139"/>
      <c r="AD47" s="131"/>
      <c r="AE47" s="140"/>
    </row>
    <row r="48" spans="3:31" ht="12.75">
      <c r="C48" s="243" t="s">
        <v>627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</row>
    <row r="49" spans="3:31" ht="12.75"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</row>
    <row r="50" spans="3:31" ht="12.75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</row>
    <row r="51" spans="3:31" ht="15.75">
      <c r="C51" s="353" t="s">
        <v>242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</row>
    <row r="52" spans="3:31" ht="15.75">
      <c r="C52" s="353" t="s">
        <v>243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</row>
    <row r="53" spans="3:31" ht="15.75">
      <c r="C53" s="353" t="s">
        <v>789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</row>
    <row r="57" spans="3:12" ht="12.75" customHeight="1">
      <c r="C57" s="111"/>
      <c r="L57" s="112"/>
    </row>
  </sheetData>
  <sheetProtection/>
  <mergeCells count="5">
    <mergeCell ref="C52:AE52"/>
    <mergeCell ref="C53:AE53"/>
    <mergeCell ref="AA2:AM2"/>
    <mergeCell ref="A3:Q3"/>
    <mergeCell ref="C51:AE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7"/>
  <sheetViews>
    <sheetView tabSelected="1" view="pageBreakPreview" zoomScaleSheetLayoutView="100" zoomScalePageLayoutView="0" workbookViewId="0" topLeftCell="A1">
      <selection activeCell="AW17" sqref="AW17"/>
    </sheetView>
  </sheetViews>
  <sheetFormatPr defaultColWidth="9.140625" defaultRowHeight="12.75"/>
  <cols>
    <col min="1" max="1" width="2.421875" style="1" customWidth="1"/>
    <col min="2" max="7" width="2.421875" style="2" customWidth="1"/>
    <col min="8" max="40" width="2.421875" style="3" customWidth="1"/>
    <col min="41" max="41" width="3.7109375" style="3" customWidth="1"/>
    <col min="42" max="45" width="9.140625" style="3" customWidth="1"/>
    <col min="46" max="48" width="9.140625" style="4" customWidth="1"/>
    <col min="49" max="49" width="16.00390625" style="3" customWidth="1"/>
    <col min="50" max="60" width="16.00390625" style="3" hidden="1" customWidth="1"/>
    <col min="61" max="71" width="16.00390625" style="3" customWidth="1"/>
    <col min="72" max="16384" width="9.140625" style="3" customWidth="1"/>
  </cols>
  <sheetData>
    <row r="1" spans="42:61" s="5" customFormat="1" ht="4.5" customHeight="1">
      <c r="AP1" s="6"/>
      <c r="AQ1" s="6"/>
      <c r="AR1" s="6"/>
      <c r="AS1" s="6"/>
      <c r="AT1" s="7"/>
      <c r="AU1" s="8"/>
      <c r="AV1" s="7"/>
      <c r="AW1" s="6"/>
      <c r="AX1" s="6"/>
      <c r="AY1" s="6"/>
      <c r="AZ1" s="6"/>
      <c r="BA1" s="6"/>
      <c r="BB1" s="6"/>
      <c r="BC1" s="6"/>
      <c r="BD1" s="6"/>
      <c r="BE1" s="6"/>
      <c r="BG1" s="6"/>
      <c r="BH1" s="6"/>
      <c r="BI1" s="6"/>
    </row>
    <row r="2" spans="1:61" s="5" customFormat="1" ht="23.25">
      <c r="A2" s="9" t="str">
        <f>Informace!A2</f>
        <v>Fóliovaná MDF dvířka ALFA</v>
      </c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P2" s="6"/>
      <c r="AQ2" s="6"/>
      <c r="AR2" s="6"/>
      <c r="AS2" s="6"/>
      <c r="AT2" s="7"/>
      <c r="AU2" s="8"/>
      <c r="AV2" s="7"/>
      <c r="AW2" s="6"/>
      <c r="AX2" s="6"/>
      <c r="AY2" s="6"/>
      <c r="AZ2" s="6"/>
      <c r="BA2" s="6"/>
      <c r="BB2" s="10" t="s">
        <v>0</v>
      </c>
      <c r="BC2" s="6"/>
      <c r="BD2" s="6"/>
      <c r="BE2" s="6"/>
      <c r="BG2" s="6"/>
      <c r="BH2" s="6"/>
      <c r="BI2" s="6"/>
    </row>
    <row r="3" spans="1:61" s="5" customFormat="1" ht="15.75">
      <c r="A3" s="355" t="s">
        <v>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11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5"/>
      <c r="AP3" s="6"/>
      <c r="AQ3" s="6"/>
      <c r="AR3" s="6"/>
      <c r="AS3" s="6"/>
      <c r="AT3" s="7"/>
      <c r="AU3" s="8"/>
      <c r="AV3" s="7"/>
      <c r="AW3" s="6"/>
      <c r="AX3" s="6"/>
      <c r="AY3" s="6"/>
      <c r="AZ3" s="6"/>
      <c r="BA3" s="6"/>
      <c r="BB3" s="14" t="s">
        <v>2</v>
      </c>
      <c r="BC3" s="6"/>
      <c r="BE3" s="6"/>
      <c r="BG3" s="6"/>
      <c r="BH3" s="6"/>
      <c r="BI3" s="6"/>
    </row>
    <row r="4" spans="1:61" s="5" customFormat="1" ht="10.5" customHeight="1">
      <c r="A4" s="1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6"/>
      <c r="AA4" s="400" t="s">
        <v>931</v>
      </c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15"/>
      <c r="AO4" s="15"/>
      <c r="AP4" s="6"/>
      <c r="AQ4" s="6"/>
      <c r="AR4" s="6"/>
      <c r="AS4" s="6"/>
      <c r="AT4" s="7"/>
      <c r="AU4" s="8"/>
      <c r="AV4" s="7"/>
      <c r="AW4" s="6"/>
      <c r="AX4" s="6"/>
      <c r="AY4" s="6"/>
      <c r="AZ4" s="6"/>
      <c r="BA4" s="6"/>
      <c r="BB4" s="14" t="s">
        <v>3</v>
      </c>
      <c r="BC4" s="6"/>
      <c r="BD4" s="6"/>
      <c r="BE4" s="6"/>
      <c r="BG4" s="6"/>
      <c r="BH4" s="6"/>
      <c r="BI4" s="6"/>
    </row>
    <row r="5" spans="2:61" s="5" customFormat="1" ht="4.5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AA5" s="16"/>
      <c r="AB5" s="16"/>
      <c r="AC5" s="16"/>
      <c r="AD5" s="16"/>
      <c r="AE5" s="16"/>
      <c r="AF5" s="16"/>
      <c r="AG5" s="16"/>
      <c r="AH5" s="16"/>
      <c r="AP5" s="6"/>
      <c r="AQ5" s="6"/>
      <c r="AR5" s="6"/>
      <c r="AS5" s="6"/>
      <c r="AT5" s="7"/>
      <c r="AU5" s="7"/>
      <c r="AV5" s="7"/>
      <c r="AW5" s="6"/>
      <c r="AX5" s="6"/>
      <c r="AY5" s="6"/>
      <c r="AZ5" s="6"/>
      <c r="BA5" s="6"/>
      <c r="BB5" s="6"/>
      <c r="BC5" s="6"/>
      <c r="BD5" s="6"/>
      <c r="BE5" s="6"/>
      <c r="BG5" s="6"/>
      <c r="BH5" s="6"/>
      <c r="BI5" s="6"/>
    </row>
    <row r="6" spans="2:61" s="5" customFormat="1" ht="15" customHeight="1">
      <c r="B6" s="401" t="s">
        <v>4</v>
      </c>
      <c r="C6" s="401"/>
      <c r="D6" s="401"/>
      <c r="E6" s="401"/>
      <c r="F6" s="401"/>
      <c r="G6" s="401"/>
      <c r="H6" s="401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AA6" s="403" t="s">
        <v>5</v>
      </c>
      <c r="AB6" s="403"/>
      <c r="AC6" s="403"/>
      <c r="AD6" s="403"/>
      <c r="AE6" s="403"/>
      <c r="AF6" s="403"/>
      <c r="AG6" s="403"/>
      <c r="AH6" s="404"/>
      <c r="AI6" s="404"/>
      <c r="AJ6" s="404"/>
      <c r="AK6" s="404"/>
      <c r="AL6" s="404"/>
      <c r="AM6" s="404"/>
      <c r="AP6" s="6"/>
      <c r="AQ6" s="6"/>
      <c r="AR6" s="6"/>
      <c r="AS6" s="6"/>
      <c r="AT6" s="7"/>
      <c r="AU6" s="7"/>
      <c r="AV6" s="7"/>
      <c r="AW6" s="6"/>
      <c r="AX6" s="6"/>
      <c r="AY6" s="6"/>
      <c r="AZ6" s="6"/>
      <c r="BA6" s="6"/>
      <c r="BB6" s="6" t="s">
        <v>6</v>
      </c>
      <c r="BC6" s="6"/>
      <c r="BD6" s="6">
        <v>0.25</v>
      </c>
      <c r="BE6" s="6" t="s">
        <v>599</v>
      </c>
      <c r="BG6" s="6"/>
      <c r="BH6" s="6"/>
      <c r="BI6" s="6"/>
    </row>
    <row r="7" spans="2:61" s="5" customFormat="1" ht="15" customHeight="1">
      <c r="B7" s="401" t="s">
        <v>7</v>
      </c>
      <c r="C7" s="401"/>
      <c r="D7" s="401"/>
      <c r="E7" s="401"/>
      <c r="F7" s="401"/>
      <c r="G7" s="401"/>
      <c r="H7" s="401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AA7" s="403"/>
      <c r="AB7" s="403"/>
      <c r="AC7" s="403"/>
      <c r="AD7" s="403"/>
      <c r="AE7" s="403"/>
      <c r="AF7" s="403"/>
      <c r="AG7" s="403"/>
      <c r="AH7" s="404"/>
      <c r="AI7" s="404"/>
      <c r="AJ7" s="404"/>
      <c r="AK7" s="404"/>
      <c r="AL7" s="404"/>
      <c r="AM7" s="404"/>
      <c r="AP7" s="6"/>
      <c r="AQ7" s="6"/>
      <c r="AR7" s="6"/>
      <c r="AS7" s="6"/>
      <c r="AT7" s="7"/>
      <c r="AU7" s="7"/>
      <c r="AV7" s="7"/>
      <c r="AW7" s="6"/>
      <c r="AX7" s="6"/>
      <c r="AY7" s="6"/>
      <c r="AZ7" s="6"/>
      <c r="BA7" s="6"/>
      <c r="BB7" s="6" t="s">
        <v>8</v>
      </c>
      <c r="BC7" s="6">
        <f>zadani!L238</f>
        <v>50</v>
      </c>
      <c r="BD7" s="6"/>
      <c r="BE7" s="6"/>
      <c r="BG7" s="6"/>
      <c r="BH7" s="6"/>
      <c r="BI7" s="6"/>
    </row>
    <row r="8" spans="2:61" s="5" customFormat="1" ht="15" customHeight="1">
      <c r="B8" s="401" t="s">
        <v>9</v>
      </c>
      <c r="C8" s="401"/>
      <c r="D8" s="401"/>
      <c r="E8" s="401"/>
      <c r="F8" s="401"/>
      <c r="G8" s="401"/>
      <c r="H8" s="401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AA8" s="397" t="s">
        <v>10</v>
      </c>
      <c r="AB8" s="397"/>
      <c r="AC8" s="397"/>
      <c r="AD8" s="397"/>
      <c r="AE8" s="397"/>
      <c r="AF8" s="397"/>
      <c r="AG8" s="397"/>
      <c r="AH8" s="406"/>
      <c r="AI8" s="406"/>
      <c r="AJ8" s="406"/>
      <c r="AK8" s="406"/>
      <c r="AL8" s="406"/>
      <c r="AM8" s="406"/>
      <c r="AP8" s="6"/>
      <c r="AQ8" s="6"/>
      <c r="AR8" s="6"/>
      <c r="AS8" s="6"/>
      <c r="AT8" s="7"/>
      <c r="AU8" s="7"/>
      <c r="AV8" s="7"/>
      <c r="AW8" s="6"/>
      <c r="AX8" s="6"/>
      <c r="AY8" s="6"/>
      <c r="AZ8" s="6"/>
      <c r="BA8" s="6"/>
      <c r="BB8" s="6" t="s">
        <v>11</v>
      </c>
      <c r="BC8" s="6">
        <f>zadani!M238</f>
        <v>36</v>
      </c>
      <c r="BD8" s="6"/>
      <c r="BE8" s="6"/>
      <c r="BG8" s="6"/>
      <c r="BH8" s="6"/>
      <c r="BI8" s="6"/>
    </row>
    <row r="9" spans="2:61" s="5" customFormat="1" ht="15" customHeight="1">
      <c r="B9" s="401" t="s">
        <v>12</v>
      </c>
      <c r="C9" s="401"/>
      <c r="D9" s="401"/>
      <c r="E9" s="401"/>
      <c r="F9" s="401"/>
      <c r="G9" s="401"/>
      <c r="H9" s="401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AA9" s="397"/>
      <c r="AB9" s="397"/>
      <c r="AC9" s="397"/>
      <c r="AD9" s="397"/>
      <c r="AE9" s="397"/>
      <c r="AF9" s="397"/>
      <c r="AG9" s="397"/>
      <c r="AH9" s="406"/>
      <c r="AI9" s="406"/>
      <c r="AJ9" s="406"/>
      <c r="AK9" s="406"/>
      <c r="AL9" s="406"/>
      <c r="AM9" s="406"/>
      <c r="AP9" s="6"/>
      <c r="AQ9" s="6"/>
      <c r="AR9" s="6"/>
      <c r="AS9" s="6"/>
      <c r="AT9" s="7"/>
      <c r="AU9" s="8"/>
      <c r="AV9" s="8"/>
      <c r="AZ9" s="6"/>
      <c r="BA9" s="6"/>
      <c r="BB9" s="205" t="s">
        <v>408</v>
      </c>
      <c r="BC9" s="6">
        <f>zadani!B332</f>
        <v>116</v>
      </c>
      <c r="BD9" s="5">
        <f>IF(OR(B48="D",B48="E"),6,5)</f>
        <v>5</v>
      </c>
      <c r="BE9" s="6" t="s">
        <v>428</v>
      </c>
      <c r="BG9" s="6"/>
      <c r="BH9" s="6"/>
      <c r="BI9" s="6"/>
    </row>
    <row r="10" spans="2:61" s="5" customFormat="1" ht="10.5" customHeight="1">
      <c r="B10" s="15"/>
      <c r="C10" s="15"/>
      <c r="D10" s="15"/>
      <c r="E10" s="15"/>
      <c r="F10" s="15"/>
      <c r="G10" s="15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AA10" s="18"/>
      <c r="AB10" s="16"/>
      <c r="AC10" s="16"/>
      <c r="AD10" s="16"/>
      <c r="AE10" s="16"/>
      <c r="AF10" s="16"/>
      <c r="AG10" s="19"/>
      <c r="AH10" s="19"/>
      <c r="AI10" s="19"/>
      <c r="AJ10" s="19"/>
      <c r="AK10" s="19"/>
      <c r="AP10" s="6"/>
      <c r="AQ10" s="6"/>
      <c r="AR10" s="6"/>
      <c r="AS10" s="6"/>
      <c r="AT10" s="7"/>
      <c r="AU10" s="8"/>
      <c r="AV10" s="8"/>
      <c r="AZ10" s="6"/>
      <c r="BA10" s="6"/>
      <c r="BB10" s="6" t="s">
        <v>13</v>
      </c>
      <c r="BC10" s="6"/>
      <c r="BD10" s="5">
        <f>IF(LEFT(B16,3)="D07",2,3)</f>
        <v>2</v>
      </c>
      <c r="BE10" s="206" t="s">
        <v>420</v>
      </c>
      <c r="BG10" s="6"/>
      <c r="BH10" s="6"/>
      <c r="BI10" s="6"/>
    </row>
    <row r="11" spans="1:61" s="5" customFormat="1" ht="10.5" customHeight="1">
      <c r="A11" s="20"/>
      <c r="B11" s="395" t="s">
        <v>14</v>
      </c>
      <c r="C11" s="395"/>
      <c r="D11" s="395"/>
      <c r="E11" s="395"/>
      <c r="F11" s="395"/>
      <c r="G11" s="395"/>
      <c r="H11" s="395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AA11" s="397" t="s">
        <v>15</v>
      </c>
      <c r="AB11" s="397"/>
      <c r="AC11" s="397"/>
      <c r="AD11" s="397"/>
      <c r="AE11" s="397"/>
      <c r="AF11" s="397"/>
      <c r="AG11" s="397"/>
      <c r="AH11" s="398">
        <v>0</v>
      </c>
      <c r="AI11" s="398"/>
      <c r="AJ11" s="398"/>
      <c r="AK11" s="398"/>
      <c r="AL11" s="398"/>
      <c r="AM11" s="398"/>
      <c r="AP11" s="6"/>
      <c r="AQ11" s="6"/>
      <c r="AR11" s="6"/>
      <c r="AS11" s="6"/>
      <c r="AT11" s="7"/>
      <c r="AU11" s="8"/>
      <c r="AV11" s="8"/>
      <c r="AZ11" s="6"/>
      <c r="BA11" s="6"/>
      <c r="BB11" s="6" t="s">
        <v>16</v>
      </c>
      <c r="BC11" s="6">
        <f>INDEX(cena_komplet,BC17,BD9)</f>
        <v>1377</v>
      </c>
      <c r="BD11" s="6">
        <f>IF(OR(L16=zadani!A164,L16=zadani!A167),1,0)</f>
        <v>0</v>
      </c>
      <c r="BE11" s="206" t="s">
        <v>421</v>
      </c>
      <c r="BG11" s="6"/>
      <c r="BH11" s="6"/>
      <c r="BI11" s="6"/>
    </row>
    <row r="12" spans="1:61" s="5" customFormat="1" ht="16.5" customHeight="1">
      <c r="A12" s="20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AA12" s="397"/>
      <c r="AB12" s="397"/>
      <c r="AC12" s="397"/>
      <c r="AD12" s="397"/>
      <c r="AE12" s="397"/>
      <c r="AF12" s="397"/>
      <c r="AG12" s="397"/>
      <c r="AH12" s="398"/>
      <c r="AI12" s="398"/>
      <c r="AJ12" s="398"/>
      <c r="AK12" s="398"/>
      <c r="AL12" s="398"/>
      <c r="AM12" s="398"/>
      <c r="AP12" s="6"/>
      <c r="AQ12" s="6"/>
      <c r="AR12" s="6"/>
      <c r="AS12" s="6"/>
      <c r="AT12" s="7"/>
      <c r="AU12" s="8"/>
      <c r="AV12" s="8"/>
      <c r="AZ12" s="6"/>
      <c r="BA12" s="6"/>
      <c r="BB12" s="6" t="s">
        <v>17</v>
      </c>
      <c r="BC12" s="6">
        <f>IF(BD11=0,INDEX(cena_komplet,BC17,BD12),IF(BD11=1,INDEX(cena_komplet,BC17,BD10)))</f>
        <v>3048</v>
      </c>
      <c r="BD12" s="6">
        <f>IF(OR(B16="D13"),3,IF(B16="D14",4,2))</f>
        <v>2</v>
      </c>
      <c r="BE12" s="206" t="s">
        <v>419</v>
      </c>
      <c r="BG12" s="6"/>
      <c r="BH12" s="6"/>
      <c r="BI12" s="6"/>
    </row>
    <row r="13" spans="2:61" s="5" customFormat="1" ht="15.75" customHeight="1"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P13" s="405"/>
      <c r="AQ13" s="405"/>
      <c r="AR13" s="405"/>
      <c r="AS13" s="21"/>
      <c r="AT13" s="7"/>
      <c r="AU13" s="8"/>
      <c r="AV13" s="8"/>
      <c r="AZ13" s="7"/>
      <c r="BA13" s="6"/>
      <c r="BB13" s="3" t="s">
        <v>18</v>
      </c>
      <c r="BC13" s="3">
        <f>INDEX(folie_komplet,BC15,3)</f>
        <v>0</v>
      </c>
      <c r="BD13" s="6" t="s">
        <v>655</v>
      </c>
      <c r="BE13" s="15">
        <f>MATCH(BF13,tvar_vyber,0)</f>
        <v>42</v>
      </c>
      <c r="BF13" s="15" t="str">
        <f>zadani!A223</f>
        <v>T50J frézovaná úchytka</v>
      </c>
      <c r="BG13" s="6"/>
      <c r="BH13" s="6"/>
      <c r="BI13" s="6"/>
    </row>
    <row r="14" spans="2:57" ht="17.25" customHeight="1">
      <c r="B14" s="22" t="s">
        <v>19</v>
      </c>
      <c r="D14" s="23"/>
      <c r="E14" s="24"/>
      <c r="AQ14" s="392"/>
      <c r="AR14" s="392"/>
      <c r="AS14" s="392"/>
      <c r="AT14" s="392"/>
      <c r="AU14" s="392"/>
      <c r="BB14" s="3" t="s">
        <v>20</v>
      </c>
      <c r="BC14" s="3">
        <f>INDEX(tvar_komplet,BC16,8)</f>
        <v>60</v>
      </c>
      <c r="BD14" s="3" t="s">
        <v>656</v>
      </c>
      <c r="BE14" s="3">
        <f>IF(BC16=BE13,1,1)</f>
        <v>1</v>
      </c>
    </row>
    <row r="15" spans="2:55" ht="15.75" customHeight="1">
      <c r="B15" s="393" t="s">
        <v>21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3" t="s">
        <v>22</v>
      </c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 t="s">
        <v>23</v>
      </c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Z15" s="3" t="s">
        <v>23</v>
      </c>
      <c r="BB15" s="3" t="s">
        <v>24</v>
      </c>
      <c r="BC15" s="3">
        <f>MATCH(L16,folie_vyber,0)</f>
        <v>3</v>
      </c>
    </row>
    <row r="16" spans="2:57" ht="15.75" customHeight="1">
      <c r="B16" s="394" t="s">
        <v>125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 t="s">
        <v>335</v>
      </c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 t="s">
        <v>26</v>
      </c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Z16" s="3" t="s">
        <v>26</v>
      </c>
      <c r="BB16" s="3" t="s">
        <v>27</v>
      </c>
      <c r="BC16" s="3">
        <f>MATCH(B16,tvar_vyber,0)</f>
        <v>9</v>
      </c>
      <c r="BD16" s="5">
        <v>42</v>
      </c>
      <c r="BE16" s="206" t="s">
        <v>410</v>
      </c>
    </row>
    <row r="17" spans="2:55" ht="15.75" customHeight="1">
      <c r="B17" s="391">
        <f>IF(B16=zadani!A223,"Frézovaný tvar úchytky je možný pouze pro surovou MDF určenou k lakování. Fólii na tvar nelze aplikovat.","")</f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T17" s="26"/>
      <c r="AZ17" s="3">
        <f>IF(BC13=0,"",BC13)</f>
      </c>
      <c r="BB17" s="3" t="s">
        <v>28</v>
      </c>
      <c r="BC17" s="3">
        <f>INDEX(folie_komplet,BC15,2)</f>
        <v>1</v>
      </c>
    </row>
    <row r="18" spans="1:55" s="4" customFormat="1" ht="30" customHeight="1">
      <c r="A18" s="25"/>
      <c r="B18" s="387" t="s">
        <v>29</v>
      </c>
      <c r="C18" s="387"/>
      <c r="D18" s="388" t="s">
        <v>31</v>
      </c>
      <c r="E18" s="388"/>
      <c r="F18" s="388"/>
      <c r="G18" s="388"/>
      <c r="H18" s="388"/>
      <c r="I18" s="388" t="s">
        <v>30</v>
      </c>
      <c r="J18" s="388"/>
      <c r="K18" s="388"/>
      <c r="L18" s="388"/>
      <c r="M18" s="388"/>
      <c r="N18" s="389" t="s">
        <v>32</v>
      </c>
      <c r="O18" s="389"/>
      <c r="P18" s="389"/>
      <c r="Q18" s="389"/>
      <c r="R18" s="389" t="s">
        <v>33</v>
      </c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90" t="s">
        <v>34</v>
      </c>
      <c r="AD18" s="390"/>
      <c r="AE18" s="390"/>
      <c r="AF18" s="390"/>
      <c r="AG18" s="390"/>
      <c r="AH18" s="390"/>
      <c r="AI18" s="390"/>
      <c r="AJ18" s="384" t="s">
        <v>35</v>
      </c>
      <c r="AK18" s="384"/>
      <c r="AL18" s="384"/>
      <c r="AM18" s="384"/>
      <c r="AP18" s="26" t="s">
        <v>36</v>
      </c>
      <c r="AQ18" s="26" t="s">
        <v>37</v>
      </c>
      <c r="AR18" s="26" t="s">
        <v>13</v>
      </c>
      <c r="AS18" s="26" t="s">
        <v>38</v>
      </c>
      <c r="AT18" s="26" t="s">
        <v>40</v>
      </c>
      <c r="AU18" s="26" t="s">
        <v>39</v>
      </c>
      <c r="AV18" s="26" t="s">
        <v>41</v>
      </c>
      <c r="AW18" s="26" t="s">
        <v>409</v>
      </c>
      <c r="AY18" s="4" t="s">
        <v>792</v>
      </c>
      <c r="AZ18" s="6" t="s">
        <v>6</v>
      </c>
      <c r="BA18" s="4" t="s">
        <v>13</v>
      </c>
      <c r="BB18" s="4" t="s">
        <v>600</v>
      </c>
      <c r="BC18" s="4" t="s">
        <v>791</v>
      </c>
    </row>
    <row r="19" spans="2:55" s="27" customFormat="1" ht="14.25" customHeight="1">
      <c r="B19" s="385">
        <v>1</v>
      </c>
      <c r="C19" s="385"/>
      <c r="D19" s="383">
        <v>1000</v>
      </c>
      <c r="E19" s="383"/>
      <c r="F19" s="383"/>
      <c r="G19" s="383"/>
      <c r="H19" s="383"/>
      <c r="I19" s="383">
        <v>1000</v>
      </c>
      <c r="J19" s="383"/>
      <c r="K19" s="383"/>
      <c r="L19" s="383"/>
      <c r="M19" s="383"/>
      <c r="N19" s="383">
        <v>1</v>
      </c>
      <c r="O19" s="383"/>
      <c r="P19" s="383"/>
      <c r="Q19" s="383"/>
      <c r="R19" s="383" t="s">
        <v>42</v>
      </c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 t="s">
        <v>2</v>
      </c>
      <c r="AD19" s="383"/>
      <c r="AE19" s="383"/>
      <c r="AF19" s="383"/>
      <c r="AG19" s="383"/>
      <c r="AH19" s="383"/>
      <c r="AI19" s="383"/>
      <c r="AJ19" s="386">
        <f aca="true" t="shared" si="0" ref="AJ19:AJ43">(D19*I19)/1000000*N19</f>
        <v>1</v>
      </c>
      <c r="AK19" s="386"/>
      <c r="AL19" s="386"/>
      <c r="AM19" s="386"/>
      <c r="AP19" s="27">
        <f>AJ19*$BC$12*(AY19+BC19-1)+AW19</f>
        <v>3048</v>
      </c>
      <c r="AQ19" s="27">
        <f>AV19*$BC$8</f>
        <v>0</v>
      </c>
      <c r="AR19" s="27">
        <f>BB19*BA19*N19</f>
        <v>0</v>
      </c>
      <c r="AS19" s="27">
        <f aca="true" t="shared" si="1" ref="AS19:AS43">IF(AZ19&gt;5,N19*$BC$7,0)</f>
        <v>0</v>
      </c>
      <c r="AT19" s="28">
        <f>IF(D19=0,0,D19-2*$BC$14)</f>
        <v>880</v>
      </c>
      <c r="AU19" s="28">
        <f>IF(I19=0,0,I19-2*$BC$14)</f>
        <v>880</v>
      </c>
      <c r="AV19" s="28">
        <f>IF(AZ19&gt;2,2*(D19+I19)*N19/1000,0)</f>
        <v>0</v>
      </c>
      <c r="AW19" s="27">
        <f>IF($BC$16&gt;$BD$16,$BC$9*N19,0)</f>
        <v>0</v>
      </c>
      <c r="AX19" s="27">
        <f>INDEX(tvar_komplet,BC16,9)</f>
        <v>0</v>
      </c>
      <c r="AY19" s="27">
        <f>$BE$14</f>
        <v>1</v>
      </c>
      <c r="AZ19" s="6">
        <f>IF(R19=0,0,MATCH(R19,sklo_vyber,0))</f>
        <v>1</v>
      </c>
      <c r="BA19" s="27">
        <f>IF(AZ19=0,0,INDEX(sklo_komplet,AZ19,3))</f>
        <v>0</v>
      </c>
      <c r="BB19" s="27">
        <f>IF((AT19*AU19/1000000)&lt;BD$6,BD$6,AT19*AU19/1000000)</f>
        <v>0.7744</v>
      </c>
      <c r="BC19" s="27">
        <f>IF(AZ19=1,1,IF(AZ19=2,1.4,IF(AZ19=3,1.5,1.25)))</f>
        <v>1</v>
      </c>
    </row>
    <row r="20" spans="2:55" s="27" customFormat="1" ht="14.25" customHeight="1">
      <c r="B20" s="381">
        <v>2</v>
      </c>
      <c r="C20" s="381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2"/>
      <c r="AD20" s="382"/>
      <c r="AE20" s="382"/>
      <c r="AF20" s="382"/>
      <c r="AG20" s="382"/>
      <c r="AH20" s="382"/>
      <c r="AI20" s="382"/>
      <c r="AJ20" s="377">
        <f t="shared" si="0"/>
        <v>0</v>
      </c>
      <c r="AK20" s="377"/>
      <c r="AL20" s="377"/>
      <c r="AM20" s="377"/>
      <c r="AP20" s="27">
        <f aca="true" t="shared" si="2" ref="AP20:AP43">AJ20*$BC$12*(AY20+BC20-1)+AW20</f>
        <v>0</v>
      </c>
      <c r="AQ20" s="27">
        <f aca="true" t="shared" si="3" ref="AQ20:AQ43">AV20*$BC$8</f>
        <v>0</v>
      </c>
      <c r="AR20" s="27">
        <f aca="true" t="shared" si="4" ref="AR20:AR43">BB20*BA20*N20</f>
        <v>0</v>
      </c>
      <c r="AS20" s="27">
        <f t="shared" si="1"/>
        <v>0</v>
      </c>
      <c r="AT20" s="28">
        <f aca="true" t="shared" si="5" ref="AT20:AT32">IF(D20=0,0,D20-2*$BC$14)</f>
        <v>0</v>
      </c>
      <c r="AU20" s="28">
        <f aca="true" t="shared" si="6" ref="AU20:AU32">IF(I20=0,0,I20-2*$BC$14)</f>
        <v>0</v>
      </c>
      <c r="AV20" s="28">
        <f>IF(AZ20&gt;2,2*(D20+I20)*N20/1000,0)</f>
        <v>0</v>
      </c>
      <c r="AW20" s="27">
        <f aca="true" t="shared" si="7" ref="AW20:AW43">IF($BC$16&gt;$BD$16,$BC$9*N20,0)</f>
        <v>0</v>
      </c>
      <c r="AY20" s="27">
        <f aca="true" t="shared" si="8" ref="AY20:AY43">$BE$14</f>
        <v>1</v>
      </c>
      <c r="AZ20" s="6">
        <f>IF(R20=0,0,MATCH(R20,sklo_vyber,0))</f>
        <v>0</v>
      </c>
      <c r="BA20" s="27">
        <f>IF(AZ20=0,0,INDEX(sklo_komplet,AZ20,3))</f>
        <v>0</v>
      </c>
      <c r="BB20" s="27">
        <f aca="true" t="shared" si="9" ref="BB20:BB43">IF((AT20*AU20/1000000)&lt;BD$6,BD$6,AT20*AU20/1000000)</f>
        <v>0.25</v>
      </c>
      <c r="BC20" s="27">
        <f aca="true" t="shared" si="10" ref="BC20:BC43">IF(AZ20=1,1,IF(AZ20=2,1.4,IF(AZ20=3,1.5,1.25)))</f>
        <v>1.25</v>
      </c>
    </row>
    <row r="21" spans="2:60" s="27" customFormat="1" ht="14.25" customHeight="1">
      <c r="B21" s="381">
        <v>3</v>
      </c>
      <c r="C21" s="381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2"/>
      <c r="AD21" s="382"/>
      <c r="AE21" s="382"/>
      <c r="AF21" s="382"/>
      <c r="AG21" s="382"/>
      <c r="AH21" s="382"/>
      <c r="AI21" s="382"/>
      <c r="AJ21" s="377">
        <f t="shared" si="0"/>
        <v>0</v>
      </c>
      <c r="AK21" s="377"/>
      <c r="AL21" s="377"/>
      <c r="AM21" s="377"/>
      <c r="AP21" s="27">
        <f t="shared" si="2"/>
        <v>0</v>
      </c>
      <c r="AQ21" s="27">
        <f>AV21*$BC$8</f>
        <v>0</v>
      </c>
      <c r="AR21" s="27">
        <f t="shared" si="4"/>
        <v>0</v>
      </c>
      <c r="AS21" s="27">
        <f t="shared" si="1"/>
        <v>0</v>
      </c>
      <c r="AT21" s="28">
        <f t="shared" si="5"/>
        <v>0</v>
      </c>
      <c r="AU21" s="28">
        <f t="shared" si="6"/>
        <v>0</v>
      </c>
      <c r="AV21" s="28">
        <f aca="true" t="shared" si="11" ref="AV21:AV43">IF(AZ21&gt;2,2*(D21+I21)*N21/1000,0)</f>
        <v>0</v>
      </c>
      <c r="AW21" s="27">
        <f t="shared" si="7"/>
        <v>0</v>
      </c>
      <c r="AY21" s="27">
        <f t="shared" si="8"/>
        <v>1</v>
      </c>
      <c r="AZ21" s="6">
        <f>IF(R21=0,0,MATCH(R21,sklo_vyber,0))</f>
        <v>0</v>
      </c>
      <c r="BA21" s="27">
        <f aca="true" t="shared" si="12" ref="BA21:BA43">IF(AZ21=0,0,INDEX(sklo_komplet,AZ21,3))</f>
        <v>0</v>
      </c>
      <c r="BB21" s="27">
        <f t="shared" si="9"/>
        <v>0.25</v>
      </c>
      <c r="BC21" s="27">
        <f t="shared" si="10"/>
        <v>1.25</v>
      </c>
      <c r="BH21" s="51" t="str">
        <f>zadani!A172</f>
        <v>bílá</v>
      </c>
    </row>
    <row r="22" spans="2:60" s="27" customFormat="1" ht="14.25" customHeight="1">
      <c r="B22" s="381">
        <v>4</v>
      </c>
      <c r="C22" s="381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2"/>
      <c r="AD22" s="382"/>
      <c r="AE22" s="382"/>
      <c r="AF22" s="382"/>
      <c r="AG22" s="382"/>
      <c r="AH22" s="382"/>
      <c r="AI22" s="382"/>
      <c r="AJ22" s="377">
        <f t="shared" si="0"/>
        <v>0</v>
      </c>
      <c r="AK22" s="377"/>
      <c r="AL22" s="377"/>
      <c r="AM22" s="377"/>
      <c r="AP22" s="27">
        <f t="shared" si="2"/>
        <v>0</v>
      </c>
      <c r="AQ22" s="27">
        <f t="shared" si="3"/>
        <v>0</v>
      </c>
      <c r="AR22" s="27">
        <f t="shared" si="4"/>
        <v>0</v>
      </c>
      <c r="AS22" s="27">
        <f t="shared" si="1"/>
        <v>0</v>
      </c>
      <c r="AT22" s="28">
        <f t="shared" si="5"/>
        <v>0</v>
      </c>
      <c r="AU22" s="28">
        <f t="shared" si="6"/>
        <v>0</v>
      </c>
      <c r="AV22" s="28">
        <f>IF(AZ22&gt;2,2*(D22+I22)*N22/1000,0)</f>
        <v>0</v>
      </c>
      <c r="AW22" s="27">
        <f t="shared" si="7"/>
        <v>0</v>
      </c>
      <c r="AY22" s="27">
        <f>$BE$14</f>
        <v>1</v>
      </c>
      <c r="AZ22" s="6">
        <f aca="true" t="shared" si="13" ref="AZ22:AZ43">IF(R22=0,0,MATCH(R22,sklo_vyber,0))</f>
        <v>0</v>
      </c>
      <c r="BA22" s="27">
        <f t="shared" si="12"/>
        <v>0</v>
      </c>
      <c r="BB22" s="27">
        <f t="shared" si="9"/>
        <v>0.25</v>
      </c>
      <c r="BC22" s="27">
        <f t="shared" si="10"/>
        <v>1.25</v>
      </c>
      <c r="BH22" s="51" t="str">
        <f>zadani!A173</f>
        <v>zebráno 531</v>
      </c>
    </row>
    <row r="23" spans="2:60" s="27" customFormat="1" ht="14.25" customHeight="1">
      <c r="B23" s="381">
        <v>5</v>
      </c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77">
        <f t="shared" si="0"/>
        <v>0</v>
      </c>
      <c r="AK23" s="377"/>
      <c r="AL23" s="377"/>
      <c r="AM23" s="377"/>
      <c r="AP23" s="27">
        <f t="shared" si="2"/>
        <v>0</v>
      </c>
      <c r="AQ23" s="27">
        <f t="shared" si="3"/>
        <v>0</v>
      </c>
      <c r="AR23" s="27">
        <f t="shared" si="4"/>
        <v>0</v>
      </c>
      <c r="AS23" s="27">
        <f t="shared" si="1"/>
        <v>0</v>
      </c>
      <c r="AT23" s="28">
        <f t="shared" si="5"/>
        <v>0</v>
      </c>
      <c r="AU23" s="28">
        <f t="shared" si="6"/>
        <v>0</v>
      </c>
      <c r="AV23" s="28">
        <f t="shared" si="11"/>
        <v>0</v>
      </c>
      <c r="AW23" s="27">
        <f t="shared" si="7"/>
        <v>0</v>
      </c>
      <c r="AY23" s="27">
        <f t="shared" si="8"/>
        <v>1</v>
      </c>
      <c r="AZ23" s="6">
        <f t="shared" si="13"/>
        <v>0</v>
      </c>
      <c r="BA23" s="27">
        <f t="shared" si="12"/>
        <v>0</v>
      </c>
      <c r="BB23" s="27">
        <f t="shared" si="9"/>
        <v>0.25</v>
      </c>
      <c r="BC23" s="27">
        <f t="shared" si="10"/>
        <v>1.25</v>
      </c>
      <c r="BH23" s="51" t="str">
        <f>zadani!A174</f>
        <v>wenge 854</v>
      </c>
    </row>
    <row r="24" spans="2:60" s="27" customFormat="1" ht="14.25" customHeight="1">
      <c r="B24" s="381">
        <v>6</v>
      </c>
      <c r="C24" s="381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77">
        <f t="shared" si="0"/>
        <v>0</v>
      </c>
      <c r="AK24" s="377"/>
      <c r="AL24" s="377"/>
      <c r="AM24" s="377"/>
      <c r="AP24" s="27">
        <f t="shared" si="2"/>
        <v>0</v>
      </c>
      <c r="AQ24" s="27">
        <f t="shared" si="3"/>
        <v>0</v>
      </c>
      <c r="AR24" s="27">
        <f t="shared" si="4"/>
        <v>0</v>
      </c>
      <c r="AS24" s="27">
        <f t="shared" si="1"/>
        <v>0</v>
      </c>
      <c r="AT24" s="28">
        <f t="shared" si="5"/>
        <v>0</v>
      </c>
      <c r="AU24" s="28">
        <f t="shared" si="6"/>
        <v>0</v>
      </c>
      <c r="AV24" s="28">
        <f t="shared" si="11"/>
        <v>0</v>
      </c>
      <c r="AW24" s="27">
        <f t="shared" si="7"/>
        <v>0</v>
      </c>
      <c r="AY24" s="27">
        <f t="shared" si="8"/>
        <v>1</v>
      </c>
      <c r="AZ24" s="6">
        <f t="shared" si="13"/>
        <v>0</v>
      </c>
      <c r="BA24" s="27">
        <f t="shared" si="12"/>
        <v>0</v>
      </c>
      <c r="BB24" s="27">
        <f t="shared" si="9"/>
        <v>0.25</v>
      </c>
      <c r="BC24" s="27">
        <f t="shared" si="10"/>
        <v>1.25</v>
      </c>
      <c r="BH24" s="51" t="str">
        <f>zadani!A175</f>
        <v>bavaria 381</v>
      </c>
    </row>
    <row r="25" spans="2:60" s="27" customFormat="1" ht="14.25" customHeight="1">
      <c r="B25" s="381">
        <v>7</v>
      </c>
      <c r="C25" s="381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77">
        <f t="shared" si="0"/>
        <v>0</v>
      </c>
      <c r="AK25" s="377"/>
      <c r="AL25" s="377"/>
      <c r="AM25" s="377"/>
      <c r="AP25" s="27">
        <f t="shared" si="2"/>
        <v>0</v>
      </c>
      <c r="AQ25" s="27">
        <f t="shared" si="3"/>
        <v>0</v>
      </c>
      <c r="AR25" s="27">
        <f t="shared" si="4"/>
        <v>0</v>
      </c>
      <c r="AS25" s="27">
        <f t="shared" si="1"/>
        <v>0</v>
      </c>
      <c r="AT25" s="28">
        <f t="shared" si="5"/>
        <v>0</v>
      </c>
      <c r="AU25" s="28">
        <f t="shared" si="6"/>
        <v>0</v>
      </c>
      <c r="AV25" s="28">
        <f t="shared" si="11"/>
        <v>0</v>
      </c>
      <c r="AW25" s="27">
        <f t="shared" si="7"/>
        <v>0</v>
      </c>
      <c r="AY25" s="27">
        <f t="shared" si="8"/>
        <v>1</v>
      </c>
      <c r="AZ25" s="6">
        <f t="shared" si="13"/>
        <v>0</v>
      </c>
      <c r="BA25" s="27">
        <f t="shared" si="12"/>
        <v>0</v>
      </c>
      <c r="BB25" s="27">
        <f t="shared" si="9"/>
        <v>0.25</v>
      </c>
      <c r="BC25" s="27">
        <f t="shared" si="10"/>
        <v>1.25</v>
      </c>
      <c r="BH25" s="51" t="str">
        <f>zadani!A176</f>
        <v>havanna 7935</v>
      </c>
    </row>
    <row r="26" spans="2:60" s="27" customFormat="1" ht="14.25" customHeight="1">
      <c r="B26" s="381">
        <v>8</v>
      </c>
      <c r="C26" s="381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77">
        <f t="shared" si="0"/>
        <v>0</v>
      </c>
      <c r="AK26" s="377"/>
      <c r="AL26" s="377"/>
      <c r="AM26" s="377"/>
      <c r="AP26" s="27">
        <f t="shared" si="2"/>
        <v>0</v>
      </c>
      <c r="AQ26" s="27">
        <f t="shared" si="3"/>
        <v>0</v>
      </c>
      <c r="AR26" s="27">
        <f t="shared" si="4"/>
        <v>0</v>
      </c>
      <c r="AS26" s="27">
        <f t="shared" si="1"/>
        <v>0</v>
      </c>
      <c r="AT26" s="28">
        <f t="shared" si="5"/>
        <v>0</v>
      </c>
      <c r="AU26" s="28">
        <f t="shared" si="6"/>
        <v>0</v>
      </c>
      <c r="AV26" s="28">
        <f t="shared" si="11"/>
        <v>0</v>
      </c>
      <c r="AW26" s="27">
        <f t="shared" si="7"/>
        <v>0</v>
      </c>
      <c r="AY26" s="27">
        <f t="shared" si="8"/>
        <v>1</v>
      </c>
      <c r="AZ26" s="6">
        <f t="shared" si="13"/>
        <v>0</v>
      </c>
      <c r="BA26" s="27">
        <f t="shared" si="12"/>
        <v>0</v>
      </c>
      <c r="BB26" s="27">
        <f t="shared" si="9"/>
        <v>0.25</v>
      </c>
      <c r="BC26" s="27">
        <f t="shared" si="10"/>
        <v>1.25</v>
      </c>
      <c r="BH26" s="51" t="str">
        <f>zadani!A177</f>
        <v>ořech 8953</v>
      </c>
    </row>
    <row r="27" spans="2:60" s="27" customFormat="1" ht="14.25" customHeight="1">
      <c r="B27" s="381">
        <v>9</v>
      </c>
      <c r="C27" s="381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77">
        <f t="shared" si="0"/>
        <v>0</v>
      </c>
      <c r="AK27" s="377"/>
      <c r="AL27" s="377"/>
      <c r="AM27" s="377"/>
      <c r="AP27" s="27">
        <f t="shared" si="2"/>
        <v>0</v>
      </c>
      <c r="AQ27" s="27">
        <f t="shared" si="3"/>
        <v>0</v>
      </c>
      <c r="AR27" s="27">
        <f t="shared" si="4"/>
        <v>0</v>
      </c>
      <c r="AS27" s="27">
        <f t="shared" si="1"/>
        <v>0</v>
      </c>
      <c r="AT27" s="28">
        <f t="shared" si="5"/>
        <v>0</v>
      </c>
      <c r="AU27" s="28">
        <f t="shared" si="6"/>
        <v>0</v>
      </c>
      <c r="AV27" s="28">
        <f t="shared" si="11"/>
        <v>0</v>
      </c>
      <c r="AW27" s="27">
        <f t="shared" si="7"/>
        <v>0</v>
      </c>
      <c r="AY27" s="27">
        <f t="shared" si="8"/>
        <v>1</v>
      </c>
      <c r="AZ27" s="6">
        <f t="shared" si="13"/>
        <v>0</v>
      </c>
      <c r="BA27" s="27">
        <f t="shared" si="12"/>
        <v>0</v>
      </c>
      <c r="BB27" s="27">
        <f t="shared" si="9"/>
        <v>0.25</v>
      </c>
      <c r="BC27" s="27">
        <f t="shared" si="10"/>
        <v>1.25</v>
      </c>
      <c r="BH27" s="51" t="str">
        <f>zadani!A178</f>
        <v>dub sonoma 3025</v>
      </c>
    </row>
    <row r="28" spans="2:60" s="27" customFormat="1" ht="14.25" customHeight="1">
      <c r="B28" s="381">
        <v>10</v>
      </c>
      <c r="C28" s="381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77">
        <f t="shared" si="0"/>
        <v>0</v>
      </c>
      <c r="AK28" s="377"/>
      <c r="AL28" s="377"/>
      <c r="AM28" s="377"/>
      <c r="AP28" s="27">
        <f t="shared" si="2"/>
        <v>0</v>
      </c>
      <c r="AQ28" s="27">
        <f t="shared" si="3"/>
        <v>0</v>
      </c>
      <c r="AR28" s="27">
        <f t="shared" si="4"/>
        <v>0</v>
      </c>
      <c r="AS28" s="27">
        <f t="shared" si="1"/>
        <v>0</v>
      </c>
      <c r="AT28" s="28">
        <f t="shared" si="5"/>
        <v>0</v>
      </c>
      <c r="AU28" s="28">
        <f t="shared" si="6"/>
        <v>0</v>
      </c>
      <c r="AV28" s="28">
        <f t="shared" si="11"/>
        <v>0</v>
      </c>
      <c r="AW28" s="27">
        <f t="shared" si="7"/>
        <v>0</v>
      </c>
      <c r="AY28" s="27">
        <f t="shared" si="8"/>
        <v>1</v>
      </c>
      <c r="AZ28" s="6">
        <f t="shared" si="13"/>
        <v>0</v>
      </c>
      <c r="BA28" s="27">
        <f t="shared" si="12"/>
        <v>0</v>
      </c>
      <c r="BB28" s="27">
        <f t="shared" si="9"/>
        <v>0.25</v>
      </c>
      <c r="BC28" s="27">
        <f t="shared" si="10"/>
        <v>1.25</v>
      </c>
      <c r="BH28" s="51" t="str">
        <f>zadani!A179</f>
        <v>černá 190</v>
      </c>
    </row>
    <row r="29" spans="2:60" s="27" customFormat="1" ht="14.25" customHeight="1">
      <c r="B29" s="381">
        <v>11</v>
      </c>
      <c r="C29" s="381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77">
        <f t="shared" si="0"/>
        <v>0</v>
      </c>
      <c r="AK29" s="377"/>
      <c r="AL29" s="377"/>
      <c r="AM29" s="377"/>
      <c r="AP29" s="27">
        <f t="shared" si="2"/>
        <v>0</v>
      </c>
      <c r="AQ29" s="27">
        <f t="shared" si="3"/>
        <v>0</v>
      </c>
      <c r="AR29" s="27">
        <f t="shared" si="4"/>
        <v>0</v>
      </c>
      <c r="AS29" s="27">
        <f t="shared" si="1"/>
        <v>0</v>
      </c>
      <c r="AT29" s="28">
        <f t="shared" si="5"/>
        <v>0</v>
      </c>
      <c r="AU29" s="28">
        <f t="shared" si="6"/>
        <v>0</v>
      </c>
      <c r="AV29" s="28">
        <f t="shared" si="11"/>
        <v>0</v>
      </c>
      <c r="AW29" s="27">
        <f t="shared" si="7"/>
        <v>0</v>
      </c>
      <c r="AY29" s="27">
        <f t="shared" si="8"/>
        <v>1</v>
      </c>
      <c r="AZ29" s="6">
        <f t="shared" si="13"/>
        <v>0</v>
      </c>
      <c r="BA29" s="27">
        <f t="shared" si="12"/>
        <v>0</v>
      </c>
      <c r="BB29" s="27">
        <f t="shared" si="9"/>
        <v>0.25</v>
      </c>
      <c r="BC29" s="27">
        <f t="shared" si="10"/>
        <v>1.25</v>
      </c>
      <c r="BH29" s="51"/>
    </row>
    <row r="30" spans="2:60" s="27" customFormat="1" ht="14.25" customHeight="1">
      <c r="B30" s="381">
        <v>12</v>
      </c>
      <c r="C30" s="381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77">
        <f t="shared" si="0"/>
        <v>0</v>
      </c>
      <c r="AK30" s="377"/>
      <c r="AL30" s="377"/>
      <c r="AM30" s="377"/>
      <c r="AP30" s="27">
        <f t="shared" si="2"/>
        <v>0</v>
      </c>
      <c r="AQ30" s="27">
        <f t="shared" si="3"/>
        <v>0</v>
      </c>
      <c r="AR30" s="27">
        <f t="shared" si="4"/>
        <v>0</v>
      </c>
      <c r="AS30" s="27">
        <f t="shared" si="1"/>
        <v>0</v>
      </c>
      <c r="AT30" s="28">
        <f t="shared" si="5"/>
        <v>0</v>
      </c>
      <c r="AU30" s="28">
        <f t="shared" si="6"/>
        <v>0</v>
      </c>
      <c r="AV30" s="28">
        <f t="shared" si="11"/>
        <v>0</v>
      </c>
      <c r="AW30" s="27">
        <f t="shared" si="7"/>
        <v>0</v>
      </c>
      <c r="AY30" s="27">
        <f t="shared" si="8"/>
        <v>1</v>
      </c>
      <c r="AZ30" s="6">
        <f t="shared" si="13"/>
        <v>0</v>
      </c>
      <c r="BA30" s="27">
        <f t="shared" si="12"/>
        <v>0</v>
      </c>
      <c r="BB30" s="27">
        <f t="shared" si="9"/>
        <v>0.25</v>
      </c>
      <c r="BC30" s="27">
        <f t="shared" si="10"/>
        <v>1.25</v>
      </c>
      <c r="BH30" s="51"/>
    </row>
    <row r="31" spans="2:60" s="27" customFormat="1" ht="14.25" customHeight="1">
      <c r="B31" s="381">
        <v>13</v>
      </c>
      <c r="C31" s="381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77">
        <f t="shared" si="0"/>
        <v>0</v>
      </c>
      <c r="AK31" s="377"/>
      <c r="AL31" s="377"/>
      <c r="AM31" s="377"/>
      <c r="AP31" s="27">
        <f t="shared" si="2"/>
        <v>0</v>
      </c>
      <c r="AQ31" s="27">
        <f t="shared" si="3"/>
        <v>0</v>
      </c>
      <c r="AR31" s="27">
        <f t="shared" si="4"/>
        <v>0</v>
      </c>
      <c r="AS31" s="27">
        <f t="shared" si="1"/>
        <v>0</v>
      </c>
      <c r="AT31" s="28">
        <f t="shared" si="5"/>
        <v>0</v>
      </c>
      <c r="AU31" s="28">
        <f t="shared" si="6"/>
        <v>0</v>
      </c>
      <c r="AV31" s="28">
        <f t="shared" si="11"/>
        <v>0</v>
      </c>
      <c r="AW31" s="27">
        <f t="shared" si="7"/>
        <v>0</v>
      </c>
      <c r="AY31" s="27">
        <f t="shared" si="8"/>
        <v>1</v>
      </c>
      <c r="AZ31" s="6">
        <f t="shared" si="13"/>
        <v>0</v>
      </c>
      <c r="BA31" s="27">
        <f t="shared" si="12"/>
        <v>0</v>
      </c>
      <c r="BB31" s="27">
        <f t="shared" si="9"/>
        <v>0.25</v>
      </c>
      <c r="BC31" s="27">
        <f t="shared" si="10"/>
        <v>1.25</v>
      </c>
      <c r="BH31" s="51"/>
    </row>
    <row r="32" spans="2:60" s="27" customFormat="1" ht="14.25" customHeight="1">
      <c r="B32" s="381">
        <v>14</v>
      </c>
      <c r="C32" s="381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77">
        <f t="shared" si="0"/>
        <v>0</v>
      </c>
      <c r="AK32" s="377"/>
      <c r="AL32" s="377"/>
      <c r="AM32" s="377"/>
      <c r="AP32" s="27">
        <f t="shared" si="2"/>
        <v>0</v>
      </c>
      <c r="AQ32" s="27">
        <f t="shared" si="3"/>
        <v>0</v>
      </c>
      <c r="AR32" s="27">
        <f t="shared" si="4"/>
        <v>0</v>
      </c>
      <c r="AS32" s="27">
        <f t="shared" si="1"/>
        <v>0</v>
      </c>
      <c r="AT32" s="28">
        <f t="shared" si="5"/>
        <v>0</v>
      </c>
      <c r="AU32" s="28">
        <f t="shared" si="6"/>
        <v>0</v>
      </c>
      <c r="AV32" s="28">
        <f t="shared" si="11"/>
        <v>0</v>
      </c>
      <c r="AW32" s="27">
        <f t="shared" si="7"/>
        <v>0</v>
      </c>
      <c r="AY32" s="27">
        <f t="shared" si="8"/>
        <v>1</v>
      </c>
      <c r="AZ32" s="6">
        <f t="shared" si="13"/>
        <v>0</v>
      </c>
      <c r="BA32" s="27">
        <f t="shared" si="12"/>
        <v>0</v>
      </c>
      <c r="BB32" s="27">
        <f t="shared" si="9"/>
        <v>0.25</v>
      </c>
      <c r="BC32" s="27">
        <f t="shared" si="10"/>
        <v>1.25</v>
      </c>
      <c r="BH32" s="51"/>
    </row>
    <row r="33" spans="2:55" s="27" customFormat="1" ht="14.25" customHeight="1">
      <c r="B33" s="381">
        <v>15</v>
      </c>
      <c r="C33" s="381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77">
        <f t="shared" si="0"/>
        <v>0</v>
      </c>
      <c r="AK33" s="377"/>
      <c r="AL33" s="377"/>
      <c r="AM33" s="377"/>
      <c r="AP33" s="27">
        <f t="shared" si="2"/>
        <v>0</v>
      </c>
      <c r="AQ33" s="27">
        <f>AV33*$BC$8</f>
        <v>0</v>
      </c>
      <c r="AR33" s="27">
        <f t="shared" si="4"/>
        <v>0</v>
      </c>
      <c r="AS33" s="27">
        <f t="shared" si="1"/>
        <v>0</v>
      </c>
      <c r="AT33" s="28">
        <f>IF(D33=0,0,D33-2*$BC$14)</f>
        <v>0</v>
      </c>
      <c r="AU33" s="28">
        <f>IF(I33=0,0,I33-2*$BC$14)</f>
        <v>0</v>
      </c>
      <c r="AV33" s="28">
        <f>IF(AZ33&gt;2,2*(D33+I33)*N33/1000,0)</f>
        <v>0</v>
      </c>
      <c r="AW33" s="27">
        <f t="shared" si="7"/>
        <v>0</v>
      </c>
      <c r="AY33" s="27">
        <f t="shared" si="8"/>
        <v>1</v>
      </c>
      <c r="AZ33" s="6">
        <f t="shared" si="13"/>
        <v>0</v>
      </c>
      <c r="BA33" s="27">
        <f t="shared" si="12"/>
        <v>0</v>
      </c>
      <c r="BB33" s="27">
        <f t="shared" si="9"/>
        <v>0.25</v>
      </c>
      <c r="BC33" s="27">
        <f t="shared" si="10"/>
        <v>1.25</v>
      </c>
    </row>
    <row r="34" spans="2:55" s="27" customFormat="1" ht="14.25" customHeight="1">
      <c r="B34" s="381">
        <v>16</v>
      </c>
      <c r="C34" s="381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77">
        <f t="shared" si="0"/>
        <v>0</v>
      </c>
      <c r="AK34" s="377"/>
      <c r="AL34" s="377"/>
      <c r="AM34" s="377"/>
      <c r="AP34" s="27">
        <f t="shared" si="2"/>
        <v>0</v>
      </c>
      <c r="AQ34" s="27">
        <f t="shared" si="3"/>
        <v>0</v>
      </c>
      <c r="AR34" s="27">
        <f t="shared" si="4"/>
        <v>0</v>
      </c>
      <c r="AS34" s="27">
        <f t="shared" si="1"/>
        <v>0</v>
      </c>
      <c r="AT34" s="28">
        <f aca="true" t="shared" si="14" ref="AT34:AT43">IF(D34=0,0,D34-2*$BC$14)</f>
        <v>0</v>
      </c>
      <c r="AU34" s="28">
        <f aca="true" t="shared" si="15" ref="AU34:AU43">IF(I34=0,0,I34-2*$BC$14)</f>
        <v>0</v>
      </c>
      <c r="AV34" s="28">
        <f t="shared" si="11"/>
        <v>0</v>
      </c>
      <c r="AW34" s="27">
        <f t="shared" si="7"/>
        <v>0</v>
      </c>
      <c r="AY34" s="27">
        <f t="shared" si="8"/>
        <v>1</v>
      </c>
      <c r="AZ34" s="6">
        <f t="shared" si="13"/>
        <v>0</v>
      </c>
      <c r="BA34" s="27">
        <f t="shared" si="12"/>
        <v>0</v>
      </c>
      <c r="BB34" s="27">
        <f t="shared" si="9"/>
        <v>0.25</v>
      </c>
      <c r="BC34" s="27">
        <f t="shared" si="10"/>
        <v>1.25</v>
      </c>
    </row>
    <row r="35" spans="2:55" s="27" customFormat="1" ht="14.25" customHeight="1">
      <c r="B35" s="381">
        <v>17</v>
      </c>
      <c r="C35" s="381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77">
        <f t="shared" si="0"/>
        <v>0</v>
      </c>
      <c r="AK35" s="377"/>
      <c r="AL35" s="377"/>
      <c r="AM35" s="377"/>
      <c r="AP35" s="27">
        <f t="shared" si="2"/>
        <v>0</v>
      </c>
      <c r="AQ35" s="27">
        <f t="shared" si="3"/>
        <v>0</v>
      </c>
      <c r="AR35" s="27">
        <f t="shared" si="4"/>
        <v>0</v>
      </c>
      <c r="AS35" s="27">
        <f t="shared" si="1"/>
        <v>0</v>
      </c>
      <c r="AT35" s="28">
        <f t="shared" si="14"/>
        <v>0</v>
      </c>
      <c r="AU35" s="28">
        <f t="shared" si="15"/>
        <v>0</v>
      </c>
      <c r="AV35" s="28">
        <f t="shared" si="11"/>
        <v>0</v>
      </c>
      <c r="AW35" s="27">
        <f t="shared" si="7"/>
        <v>0</v>
      </c>
      <c r="AY35" s="27">
        <f t="shared" si="8"/>
        <v>1</v>
      </c>
      <c r="AZ35" s="6">
        <f t="shared" si="13"/>
        <v>0</v>
      </c>
      <c r="BA35" s="27">
        <f t="shared" si="12"/>
        <v>0</v>
      </c>
      <c r="BB35" s="27">
        <f t="shared" si="9"/>
        <v>0.25</v>
      </c>
      <c r="BC35" s="27">
        <f t="shared" si="10"/>
        <v>1.25</v>
      </c>
    </row>
    <row r="36" spans="2:55" s="27" customFormat="1" ht="14.25" customHeight="1">
      <c r="B36" s="381">
        <v>18</v>
      </c>
      <c r="C36" s="381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77">
        <f t="shared" si="0"/>
        <v>0</v>
      </c>
      <c r="AK36" s="377"/>
      <c r="AL36" s="377"/>
      <c r="AM36" s="377"/>
      <c r="AP36" s="27">
        <f t="shared" si="2"/>
        <v>0</v>
      </c>
      <c r="AQ36" s="27">
        <f t="shared" si="3"/>
        <v>0</v>
      </c>
      <c r="AR36" s="27">
        <f t="shared" si="4"/>
        <v>0</v>
      </c>
      <c r="AS36" s="27">
        <f t="shared" si="1"/>
        <v>0</v>
      </c>
      <c r="AT36" s="28">
        <f t="shared" si="14"/>
        <v>0</v>
      </c>
      <c r="AU36" s="28">
        <f t="shared" si="15"/>
        <v>0</v>
      </c>
      <c r="AV36" s="28">
        <f t="shared" si="11"/>
        <v>0</v>
      </c>
      <c r="AW36" s="27">
        <f t="shared" si="7"/>
        <v>0</v>
      </c>
      <c r="AY36" s="27">
        <f t="shared" si="8"/>
        <v>1</v>
      </c>
      <c r="AZ36" s="6">
        <f t="shared" si="13"/>
        <v>0</v>
      </c>
      <c r="BA36" s="27">
        <f t="shared" si="12"/>
        <v>0</v>
      </c>
      <c r="BB36" s="27">
        <f t="shared" si="9"/>
        <v>0.25</v>
      </c>
      <c r="BC36" s="27">
        <f t="shared" si="10"/>
        <v>1.25</v>
      </c>
    </row>
    <row r="37" spans="2:55" s="27" customFormat="1" ht="14.25" customHeight="1">
      <c r="B37" s="381">
        <v>19</v>
      </c>
      <c r="C37" s="381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77">
        <f t="shared" si="0"/>
        <v>0</v>
      </c>
      <c r="AK37" s="377"/>
      <c r="AL37" s="377"/>
      <c r="AM37" s="377"/>
      <c r="AP37" s="27">
        <f t="shared" si="2"/>
        <v>0</v>
      </c>
      <c r="AQ37" s="27">
        <f t="shared" si="3"/>
        <v>0</v>
      </c>
      <c r="AR37" s="27">
        <f t="shared" si="4"/>
        <v>0</v>
      </c>
      <c r="AS37" s="27">
        <f t="shared" si="1"/>
        <v>0</v>
      </c>
      <c r="AT37" s="28">
        <f t="shared" si="14"/>
        <v>0</v>
      </c>
      <c r="AU37" s="28">
        <f t="shared" si="15"/>
        <v>0</v>
      </c>
      <c r="AV37" s="28">
        <f t="shared" si="11"/>
        <v>0</v>
      </c>
      <c r="AW37" s="27">
        <f t="shared" si="7"/>
        <v>0</v>
      </c>
      <c r="AY37" s="27">
        <f t="shared" si="8"/>
        <v>1</v>
      </c>
      <c r="AZ37" s="6">
        <f t="shared" si="13"/>
        <v>0</v>
      </c>
      <c r="BA37" s="27">
        <f t="shared" si="12"/>
        <v>0</v>
      </c>
      <c r="BB37" s="27">
        <f t="shared" si="9"/>
        <v>0.25</v>
      </c>
      <c r="BC37" s="27">
        <f t="shared" si="10"/>
        <v>1.25</v>
      </c>
    </row>
    <row r="38" spans="2:55" s="27" customFormat="1" ht="14.25" customHeight="1">
      <c r="B38" s="381">
        <v>20</v>
      </c>
      <c r="C38" s="381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77">
        <f t="shared" si="0"/>
        <v>0</v>
      </c>
      <c r="AK38" s="377"/>
      <c r="AL38" s="377"/>
      <c r="AM38" s="377"/>
      <c r="AP38" s="27">
        <f t="shared" si="2"/>
        <v>0</v>
      </c>
      <c r="AQ38" s="27">
        <f t="shared" si="3"/>
        <v>0</v>
      </c>
      <c r="AR38" s="27">
        <f t="shared" si="4"/>
        <v>0</v>
      </c>
      <c r="AS38" s="27">
        <f t="shared" si="1"/>
        <v>0</v>
      </c>
      <c r="AT38" s="28">
        <f t="shared" si="14"/>
        <v>0</v>
      </c>
      <c r="AU38" s="28">
        <f t="shared" si="15"/>
        <v>0</v>
      </c>
      <c r="AV38" s="28">
        <f t="shared" si="11"/>
        <v>0</v>
      </c>
      <c r="AW38" s="27">
        <f t="shared" si="7"/>
        <v>0</v>
      </c>
      <c r="AY38" s="27">
        <f t="shared" si="8"/>
        <v>1</v>
      </c>
      <c r="AZ38" s="6">
        <f t="shared" si="13"/>
        <v>0</v>
      </c>
      <c r="BA38" s="27">
        <f t="shared" si="12"/>
        <v>0</v>
      </c>
      <c r="BB38" s="27">
        <f t="shared" si="9"/>
        <v>0.25</v>
      </c>
      <c r="BC38" s="27">
        <f t="shared" si="10"/>
        <v>1.25</v>
      </c>
    </row>
    <row r="39" spans="2:55" s="27" customFormat="1" ht="14.25" customHeight="1">
      <c r="B39" s="381">
        <v>21</v>
      </c>
      <c r="C39" s="381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77">
        <f t="shared" si="0"/>
        <v>0</v>
      </c>
      <c r="AK39" s="377"/>
      <c r="AL39" s="377"/>
      <c r="AM39" s="377"/>
      <c r="AP39" s="27">
        <f t="shared" si="2"/>
        <v>0</v>
      </c>
      <c r="AQ39" s="27">
        <f t="shared" si="3"/>
        <v>0</v>
      </c>
      <c r="AR39" s="27">
        <f t="shared" si="4"/>
        <v>0</v>
      </c>
      <c r="AS39" s="27">
        <f t="shared" si="1"/>
        <v>0</v>
      </c>
      <c r="AT39" s="28">
        <f t="shared" si="14"/>
        <v>0</v>
      </c>
      <c r="AU39" s="28">
        <f t="shared" si="15"/>
        <v>0</v>
      </c>
      <c r="AV39" s="28">
        <f t="shared" si="11"/>
        <v>0</v>
      </c>
      <c r="AW39" s="27">
        <f t="shared" si="7"/>
        <v>0</v>
      </c>
      <c r="AY39" s="27">
        <f t="shared" si="8"/>
        <v>1</v>
      </c>
      <c r="AZ39" s="6">
        <f t="shared" si="13"/>
        <v>0</v>
      </c>
      <c r="BA39" s="27">
        <f t="shared" si="12"/>
        <v>0</v>
      </c>
      <c r="BB39" s="27">
        <f t="shared" si="9"/>
        <v>0.25</v>
      </c>
      <c r="BC39" s="27">
        <f t="shared" si="10"/>
        <v>1.25</v>
      </c>
    </row>
    <row r="40" spans="2:55" s="27" customFormat="1" ht="14.25" customHeight="1">
      <c r="B40" s="381">
        <v>22</v>
      </c>
      <c r="C40" s="381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77">
        <f t="shared" si="0"/>
        <v>0</v>
      </c>
      <c r="AK40" s="377"/>
      <c r="AL40" s="377"/>
      <c r="AM40" s="377"/>
      <c r="AP40" s="27">
        <f t="shared" si="2"/>
        <v>0</v>
      </c>
      <c r="AQ40" s="27">
        <f t="shared" si="3"/>
        <v>0</v>
      </c>
      <c r="AR40" s="27">
        <f t="shared" si="4"/>
        <v>0</v>
      </c>
      <c r="AS40" s="27">
        <f t="shared" si="1"/>
        <v>0</v>
      </c>
      <c r="AT40" s="28">
        <f t="shared" si="14"/>
        <v>0</v>
      </c>
      <c r="AU40" s="28">
        <f t="shared" si="15"/>
        <v>0</v>
      </c>
      <c r="AV40" s="28">
        <f t="shared" si="11"/>
        <v>0</v>
      </c>
      <c r="AW40" s="27">
        <f t="shared" si="7"/>
        <v>0</v>
      </c>
      <c r="AY40" s="27">
        <f t="shared" si="8"/>
        <v>1</v>
      </c>
      <c r="AZ40" s="6">
        <f t="shared" si="13"/>
        <v>0</v>
      </c>
      <c r="BA40" s="27">
        <f t="shared" si="12"/>
        <v>0</v>
      </c>
      <c r="BB40" s="27">
        <f t="shared" si="9"/>
        <v>0.25</v>
      </c>
      <c r="BC40" s="27">
        <f t="shared" si="10"/>
        <v>1.25</v>
      </c>
    </row>
    <row r="41" spans="2:55" s="27" customFormat="1" ht="14.25" customHeight="1">
      <c r="B41" s="381">
        <v>23</v>
      </c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77">
        <f t="shared" si="0"/>
        <v>0</v>
      </c>
      <c r="AK41" s="377"/>
      <c r="AL41" s="377"/>
      <c r="AM41" s="377"/>
      <c r="AP41" s="27">
        <f t="shared" si="2"/>
        <v>0</v>
      </c>
      <c r="AQ41" s="27">
        <f t="shared" si="3"/>
        <v>0</v>
      </c>
      <c r="AR41" s="27">
        <f t="shared" si="4"/>
        <v>0</v>
      </c>
      <c r="AS41" s="27">
        <f t="shared" si="1"/>
        <v>0</v>
      </c>
      <c r="AT41" s="28">
        <f t="shared" si="14"/>
        <v>0</v>
      </c>
      <c r="AU41" s="28">
        <f t="shared" si="15"/>
        <v>0</v>
      </c>
      <c r="AV41" s="28">
        <f t="shared" si="11"/>
        <v>0</v>
      </c>
      <c r="AW41" s="27">
        <f t="shared" si="7"/>
        <v>0</v>
      </c>
      <c r="AY41" s="27">
        <f t="shared" si="8"/>
        <v>1</v>
      </c>
      <c r="AZ41" s="6">
        <f t="shared" si="13"/>
        <v>0</v>
      </c>
      <c r="BA41" s="27">
        <f t="shared" si="12"/>
        <v>0</v>
      </c>
      <c r="BB41" s="27">
        <f t="shared" si="9"/>
        <v>0.25</v>
      </c>
      <c r="BC41" s="27">
        <f t="shared" si="10"/>
        <v>1.25</v>
      </c>
    </row>
    <row r="42" spans="2:55" s="27" customFormat="1" ht="14.25" customHeight="1">
      <c r="B42" s="381">
        <v>24</v>
      </c>
      <c r="C42" s="381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77">
        <f t="shared" si="0"/>
        <v>0</v>
      </c>
      <c r="AK42" s="377"/>
      <c r="AL42" s="377"/>
      <c r="AM42" s="377"/>
      <c r="AP42" s="27">
        <f t="shared" si="2"/>
        <v>0</v>
      </c>
      <c r="AQ42" s="27">
        <f t="shared" si="3"/>
        <v>0</v>
      </c>
      <c r="AR42" s="27">
        <f t="shared" si="4"/>
        <v>0</v>
      </c>
      <c r="AS42" s="27">
        <f t="shared" si="1"/>
        <v>0</v>
      </c>
      <c r="AT42" s="28">
        <f t="shared" si="14"/>
        <v>0</v>
      </c>
      <c r="AU42" s="28">
        <f t="shared" si="15"/>
        <v>0</v>
      </c>
      <c r="AV42" s="28">
        <f t="shared" si="11"/>
        <v>0</v>
      </c>
      <c r="AW42" s="27">
        <f t="shared" si="7"/>
        <v>0</v>
      </c>
      <c r="AY42" s="27">
        <f t="shared" si="8"/>
        <v>1</v>
      </c>
      <c r="AZ42" s="6">
        <f t="shared" si="13"/>
        <v>0</v>
      </c>
      <c r="BA42" s="27">
        <f t="shared" si="12"/>
        <v>0</v>
      </c>
      <c r="BB42" s="27">
        <f t="shared" si="9"/>
        <v>0.25</v>
      </c>
      <c r="BC42" s="27">
        <f t="shared" si="10"/>
        <v>1.25</v>
      </c>
    </row>
    <row r="43" spans="2:55" s="27" customFormat="1" ht="14.25" customHeight="1">
      <c r="B43" s="378">
        <v>25</v>
      </c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80">
        <f t="shared" si="0"/>
        <v>0</v>
      </c>
      <c r="AK43" s="380"/>
      <c r="AL43" s="380"/>
      <c r="AM43" s="380"/>
      <c r="AP43" s="27">
        <f t="shared" si="2"/>
        <v>0</v>
      </c>
      <c r="AQ43" s="27">
        <f t="shared" si="3"/>
        <v>0</v>
      </c>
      <c r="AR43" s="27">
        <f t="shared" si="4"/>
        <v>0</v>
      </c>
      <c r="AS43" s="27">
        <f t="shared" si="1"/>
        <v>0</v>
      </c>
      <c r="AT43" s="28">
        <f t="shared" si="14"/>
        <v>0</v>
      </c>
      <c r="AU43" s="28">
        <f t="shared" si="15"/>
        <v>0</v>
      </c>
      <c r="AV43" s="28">
        <f t="shared" si="11"/>
        <v>0</v>
      </c>
      <c r="AW43" s="27">
        <f t="shared" si="7"/>
        <v>0</v>
      </c>
      <c r="AY43" s="27">
        <f t="shared" si="8"/>
        <v>1</v>
      </c>
      <c r="AZ43" s="6">
        <f t="shared" si="13"/>
        <v>0</v>
      </c>
      <c r="BA43" s="27">
        <f t="shared" si="12"/>
        <v>0</v>
      </c>
      <c r="BB43" s="27">
        <f t="shared" si="9"/>
        <v>0.25</v>
      </c>
      <c r="BC43" s="27">
        <f t="shared" si="10"/>
        <v>1.25</v>
      </c>
    </row>
    <row r="44" spans="42:48" ht="5.25" customHeight="1">
      <c r="AP44" s="29"/>
      <c r="AQ44" s="29"/>
      <c r="AR44" s="29"/>
      <c r="AS44" s="29"/>
      <c r="AT44" s="2"/>
      <c r="AU44" s="2"/>
      <c r="AV44" s="2"/>
    </row>
    <row r="45" spans="2:49" ht="15" customHeight="1">
      <c r="B45" s="30" t="s">
        <v>43</v>
      </c>
      <c r="Q45" s="31" t="s">
        <v>44</v>
      </c>
      <c r="R45" s="31"/>
      <c r="S45" s="31"/>
      <c r="T45" s="31"/>
      <c r="U45" s="31"/>
      <c r="V45" s="31"/>
      <c r="W45" s="31" t="str">
        <f>CONCATENATE(SUM(N19:Q43)," ks")</f>
        <v>1 ks</v>
      </c>
      <c r="X45" s="31"/>
      <c r="AB45" s="31"/>
      <c r="AC45" s="31"/>
      <c r="AK45" s="31"/>
      <c r="AO45" s="4" t="s">
        <v>45</v>
      </c>
      <c r="AP45" s="2">
        <f>SUM(AP19:AP43)</f>
        <v>3048</v>
      </c>
      <c r="AQ45" s="2">
        <f>SUM(AQ19:AQ43)</f>
        <v>0</v>
      </c>
      <c r="AR45" s="2">
        <f>SUM(AR19:AR43)</f>
        <v>0</v>
      </c>
      <c r="AS45" s="2">
        <f>SUM(AS19:AS43)</f>
        <v>0</v>
      </c>
      <c r="AT45" s="2"/>
      <c r="AU45" s="2"/>
      <c r="AV45" s="2">
        <f>SUM(AV19:AV43)</f>
        <v>0</v>
      </c>
      <c r="AW45" s="2"/>
    </row>
    <row r="46" spans="1:48" s="34" customFormat="1" ht="12.75" customHeight="1">
      <c r="A46" s="32"/>
      <c r="B46" s="370" t="s">
        <v>46</v>
      </c>
      <c r="C46" s="370"/>
      <c r="D46" s="370"/>
      <c r="E46" s="370"/>
      <c r="F46" s="370"/>
      <c r="G46" s="370"/>
      <c r="H46" s="370"/>
      <c r="I46" s="370"/>
      <c r="J46" s="370"/>
      <c r="K46" s="371" t="s">
        <v>32</v>
      </c>
      <c r="L46" s="371"/>
      <c r="M46" s="371"/>
      <c r="N46" s="371"/>
      <c r="O46" s="33"/>
      <c r="P46" s="33"/>
      <c r="Q46" s="31" t="s">
        <v>47</v>
      </c>
      <c r="R46" s="31"/>
      <c r="S46" s="31"/>
      <c r="T46" s="31"/>
      <c r="U46" s="31"/>
      <c r="V46" s="31"/>
      <c r="W46" s="31" t="str">
        <f>CONCATENATE(SUM(AJ19:AM43)," m2")</f>
        <v>1 m2</v>
      </c>
      <c r="AD46" s="372" t="s">
        <v>48</v>
      </c>
      <c r="AE46" s="372"/>
      <c r="AF46" s="372"/>
      <c r="AG46" s="372"/>
      <c r="AH46" s="372"/>
      <c r="AI46" s="373" t="s">
        <v>49</v>
      </c>
      <c r="AJ46" s="373"/>
      <c r="AK46" s="373"/>
      <c r="AL46" s="373"/>
      <c r="AM46" s="373"/>
      <c r="AT46" s="33"/>
      <c r="AU46" s="33"/>
      <c r="AV46" s="33"/>
    </row>
    <row r="47" spans="2:42" ht="16.5" customHeight="1">
      <c r="B47" s="370"/>
      <c r="C47" s="370"/>
      <c r="D47" s="370"/>
      <c r="E47" s="370"/>
      <c r="F47" s="370"/>
      <c r="G47" s="370"/>
      <c r="H47" s="370"/>
      <c r="I47" s="370"/>
      <c r="J47" s="370"/>
      <c r="K47" s="371"/>
      <c r="L47" s="371"/>
      <c r="M47" s="371"/>
      <c r="N47" s="371"/>
      <c r="O47" s="33"/>
      <c r="P47" s="33"/>
      <c r="Q47" s="374" t="s">
        <v>50</v>
      </c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5">
        <f>AI47*(1-$AH$11)</f>
        <v>3048</v>
      </c>
      <c r="AE47" s="375"/>
      <c r="AF47" s="375"/>
      <c r="AG47" s="375"/>
      <c r="AH47" s="375"/>
      <c r="AI47" s="376">
        <f>AP45</f>
        <v>3048</v>
      </c>
      <c r="AJ47" s="376"/>
      <c r="AK47" s="376"/>
      <c r="AL47" s="376"/>
      <c r="AM47" s="376"/>
      <c r="AP47" s="3" t="s">
        <v>51</v>
      </c>
    </row>
    <row r="48" spans="2:42" ht="12.75" customHeight="1">
      <c r="B48" s="368"/>
      <c r="C48" s="368"/>
      <c r="D48" s="368"/>
      <c r="E48" s="368"/>
      <c r="F48" s="368"/>
      <c r="G48" s="368"/>
      <c r="H48" s="368"/>
      <c r="I48" s="368"/>
      <c r="J48" s="368"/>
      <c r="K48" s="369"/>
      <c r="L48" s="369"/>
      <c r="M48" s="369"/>
      <c r="N48" s="369"/>
      <c r="O48" s="33"/>
      <c r="P48" s="33"/>
      <c r="Q48" s="362" t="s">
        <v>53</v>
      </c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0">
        <f>AI48*(1-$AH$11)</f>
        <v>0</v>
      </c>
      <c r="AE48" s="360"/>
      <c r="AF48" s="360"/>
      <c r="AG48" s="360"/>
      <c r="AH48" s="360"/>
      <c r="AI48" s="361">
        <f>AP48</f>
        <v>0</v>
      </c>
      <c r="AJ48" s="361"/>
      <c r="AK48" s="361"/>
      <c r="AL48" s="361"/>
      <c r="AM48" s="361"/>
      <c r="AP48" s="3">
        <f>K48*BC11</f>
        <v>0</v>
      </c>
    </row>
    <row r="49" spans="2:39" ht="12.75">
      <c r="B49" s="368"/>
      <c r="C49" s="368"/>
      <c r="D49" s="368"/>
      <c r="E49" s="368"/>
      <c r="F49" s="368"/>
      <c r="G49" s="368"/>
      <c r="H49" s="368"/>
      <c r="I49" s="368"/>
      <c r="J49" s="368"/>
      <c r="K49" s="369"/>
      <c r="L49" s="369"/>
      <c r="M49" s="369"/>
      <c r="N49" s="369"/>
      <c r="O49" s="33"/>
      <c r="P49" s="33"/>
      <c r="Q49" s="362" t="s">
        <v>54</v>
      </c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0">
        <f>AI49*(1-$AH$11)</f>
        <v>0</v>
      </c>
      <c r="AE49" s="360"/>
      <c r="AF49" s="360"/>
      <c r="AG49" s="360"/>
      <c r="AH49" s="360"/>
      <c r="AI49" s="361">
        <f>AQ45</f>
        <v>0</v>
      </c>
      <c r="AJ49" s="361"/>
      <c r="AK49" s="361"/>
      <c r="AL49" s="361"/>
      <c r="AM49" s="361"/>
    </row>
    <row r="50" spans="2:39" ht="12.75" customHeight="1">
      <c r="B50" s="36" t="s">
        <v>55</v>
      </c>
      <c r="C50" s="37"/>
      <c r="D50" s="37"/>
      <c r="E50" s="37"/>
      <c r="F50" s="37"/>
      <c r="G50" s="38" t="str">
        <f>IF(zadani!Q3&lt;zadani!Q2,L16,"pro tento dekor nelze")</f>
        <v>9273 Sněhově bílá              </v>
      </c>
      <c r="Q50" s="362" t="s">
        <v>56</v>
      </c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0">
        <f>AI50*(1-$AH$11)</f>
        <v>0</v>
      </c>
      <c r="AE50" s="360"/>
      <c r="AF50" s="360"/>
      <c r="AG50" s="360"/>
      <c r="AH50" s="360"/>
      <c r="AI50" s="361">
        <f>AR45</f>
        <v>0</v>
      </c>
      <c r="AJ50" s="361"/>
      <c r="AK50" s="361"/>
      <c r="AL50" s="361"/>
      <c r="AM50" s="361"/>
    </row>
    <row r="51" spans="2:39" ht="12.75">
      <c r="B51" s="36" t="s">
        <v>57</v>
      </c>
      <c r="C51" s="37"/>
      <c r="D51" s="37"/>
      <c r="E51" s="37"/>
      <c r="F51" s="37"/>
      <c r="G51" s="38" t="s">
        <v>58</v>
      </c>
      <c r="Q51" s="363" t="s">
        <v>59</v>
      </c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4">
        <f>AS45</f>
        <v>0</v>
      </c>
      <c r="AE51" s="364"/>
      <c r="AF51" s="364"/>
      <c r="AG51" s="364"/>
      <c r="AH51" s="364"/>
      <c r="AI51" s="364"/>
      <c r="AJ51" s="364"/>
      <c r="AK51" s="364"/>
      <c r="AL51" s="364"/>
      <c r="AM51" s="364"/>
    </row>
    <row r="52" spans="2:39" ht="12.75">
      <c r="B52" s="36"/>
      <c r="C52" s="37"/>
      <c r="D52" s="37"/>
      <c r="E52" s="37"/>
      <c r="F52" s="37"/>
      <c r="G52" s="38"/>
      <c r="Q52" s="35">
        <f>IF(AX19&gt;0,"Cena úchytek bez DPH","")</f>
      </c>
      <c r="R52" s="126"/>
      <c r="S52" s="126"/>
      <c r="T52" s="126"/>
      <c r="U52" s="126"/>
      <c r="V52" s="126"/>
      <c r="W52" s="126"/>
      <c r="X52" s="126"/>
      <c r="Y52" s="126"/>
      <c r="Z52" s="126"/>
      <c r="AA52" s="126">
        <f>IF(AX19&gt;0,W45,"")</f>
      </c>
      <c r="AB52" s="126"/>
      <c r="AC52" s="127"/>
      <c r="AD52" s="360">
        <f>AI52*(1-$AH$11)</f>
        <v>0</v>
      </c>
      <c r="AE52" s="360"/>
      <c r="AF52" s="360"/>
      <c r="AG52" s="360"/>
      <c r="AH52" s="360"/>
      <c r="AI52" s="361">
        <f>SUM(N19:Q43)*AX19</f>
        <v>0</v>
      </c>
      <c r="AJ52" s="361"/>
      <c r="AK52" s="361"/>
      <c r="AL52" s="361"/>
      <c r="AM52" s="361"/>
    </row>
    <row r="53" spans="2:39" ht="16.5" customHeight="1">
      <c r="B53" s="147"/>
      <c r="C53" s="147"/>
      <c r="D53" s="147"/>
      <c r="E53" s="147"/>
      <c r="F53" s="147"/>
      <c r="G53" s="147"/>
      <c r="H53" s="148"/>
      <c r="I53" s="148"/>
      <c r="J53" s="148"/>
      <c r="K53" s="148"/>
      <c r="L53" s="148"/>
      <c r="M53" s="148"/>
      <c r="N53" s="148"/>
      <c r="Q53" s="365" t="s">
        <v>60</v>
      </c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6">
        <f>SUM(AD47:AH50)+AD51+AD52</f>
        <v>3048</v>
      </c>
      <c r="AE53" s="366"/>
      <c r="AF53" s="366"/>
      <c r="AG53" s="366"/>
      <c r="AH53" s="366"/>
      <c r="AI53" s="367">
        <f>SUM(AI47:AM50)+AD51+AI52</f>
        <v>3048</v>
      </c>
      <c r="AJ53" s="367"/>
      <c r="AK53" s="367"/>
      <c r="AL53" s="367"/>
      <c r="AM53" s="367"/>
    </row>
    <row r="54" spans="2:39" ht="16.5" customHeight="1">
      <c r="B54" s="147"/>
      <c r="C54" s="147"/>
      <c r="D54" s="147"/>
      <c r="E54" s="147"/>
      <c r="F54" s="147"/>
      <c r="G54" s="147"/>
      <c r="H54" s="148"/>
      <c r="I54" s="148"/>
      <c r="J54" s="148"/>
      <c r="K54" s="148"/>
      <c r="L54" s="148"/>
      <c r="M54" s="148"/>
      <c r="N54" s="148"/>
      <c r="Q54" s="357" t="s">
        <v>61</v>
      </c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8">
        <f>AD53*1.21</f>
        <v>3688.08</v>
      </c>
      <c r="AE54" s="358"/>
      <c r="AF54" s="358"/>
      <c r="AG54" s="358"/>
      <c r="AH54" s="358"/>
      <c r="AI54" s="359">
        <f>AI53*1.21</f>
        <v>3688.08</v>
      </c>
      <c r="AJ54" s="359"/>
      <c r="AK54" s="359"/>
      <c r="AL54" s="359"/>
      <c r="AM54" s="359"/>
    </row>
    <row r="55" spans="2:14" ht="12.75">
      <c r="B55" s="147"/>
      <c r="C55" s="147"/>
      <c r="D55" s="147"/>
      <c r="E55" s="147"/>
      <c r="F55" s="147"/>
      <c r="G55" s="147"/>
      <c r="H55" s="148"/>
      <c r="I55" s="148"/>
      <c r="J55" s="148"/>
      <c r="K55" s="148"/>
      <c r="L55" s="148"/>
      <c r="M55" s="148"/>
      <c r="N55" s="148"/>
    </row>
    <row r="56" spans="2:39" ht="12.75">
      <c r="B56" s="149"/>
      <c r="C56" s="149"/>
      <c r="D56" s="149"/>
      <c r="E56" s="149"/>
      <c r="F56" s="149"/>
      <c r="G56" s="149"/>
      <c r="H56" s="150"/>
      <c r="I56" s="150"/>
      <c r="J56" s="150"/>
      <c r="K56" s="150"/>
      <c r="L56" s="150"/>
      <c r="M56" s="150"/>
      <c r="N56" s="150"/>
      <c r="Q56" s="356">
        <f>IF(BC16&gt;BD16,"Součástí kalkulace není cena samotné úchytky UKS, pouze frézování a naražení! Cena úchytky se počítá zvlášť.","")</f>
      </c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</row>
    <row r="57" spans="2:39" ht="12.75">
      <c r="B57" s="39" t="s">
        <v>62</v>
      </c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</row>
  </sheetData>
  <sheetProtection password="DF3F" sheet="1"/>
  <mergeCells count="240">
    <mergeCell ref="AP13:AR13"/>
    <mergeCell ref="I7:Y7"/>
    <mergeCell ref="B8:H8"/>
    <mergeCell ref="I8:Y8"/>
    <mergeCell ref="AA8:AG9"/>
    <mergeCell ref="AH8:AM9"/>
    <mergeCell ref="B9:H9"/>
    <mergeCell ref="I9:Y9"/>
    <mergeCell ref="AA2:AM2"/>
    <mergeCell ref="A3:Q3"/>
    <mergeCell ref="AA4:AM4"/>
    <mergeCell ref="B6:H6"/>
    <mergeCell ref="I6:Y6"/>
    <mergeCell ref="AA6:AG7"/>
    <mergeCell ref="AH6:AM7"/>
    <mergeCell ref="B7:H7"/>
    <mergeCell ref="L16:Z16"/>
    <mergeCell ref="AA16:AK16"/>
    <mergeCell ref="B11:H11"/>
    <mergeCell ref="I11:Y11"/>
    <mergeCell ref="AA11:AG12"/>
    <mergeCell ref="AH11:AM12"/>
    <mergeCell ref="B12:Y13"/>
    <mergeCell ref="I18:M18"/>
    <mergeCell ref="N18:Q18"/>
    <mergeCell ref="R18:AB18"/>
    <mergeCell ref="AC18:AI18"/>
    <mergeCell ref="B17:AK17"/>
    <mergeCell ref="AQ14:AU14"/>
    <mergeCell ref="B15:K15"/>
    <mergeCell ref="L15:Z15"/>
    <mergeCell ref="AA15:AK15"/>
    <mergeCell ref="B16:K16"/>
    <mergeCell ref="AJ18:AM18"/>
    <mergeCell ref="B19:C19"/>
    <mergeCell ref="D19:H19"/>
    <mergeCell ref="I19:M19"/>
    <mergeCell ref="N19:Q19"/>
    <mergeCell ref="R19:AB19"/>
    <mergeCell ref="AC19:AI19"/>
    <mergeCell ref="AJ19:AM19"/>
    <mergeCell ref="B18:C18"/>
    <mergeCell ref="D18:H18"/>
    <mergeCell ref="AC21:AI21"/>
    <mergeCell ref="AJ21:AM21"/>
    <mergeCell ref="B20:C20"/>
    <mergeCell ref="D20:H20"/>
    <mergeCell ref="I20:M20"/>
    <mergeCell ref="N20:Q20"/>
    <mergeCell ref="R20:AB20"/>
    <mergeCell ref="AC20:AI20"/>
    <mergeCell ref="I22:M22"/>
    <mergeCell ref="N22:Q22"/>
    <mergeCell ref="R22:AB22"/>
    <mergeCell ref="AC22:AI22"/>
    <mergeCell ref="AJ20:AM20"/>
    <mergeCell ref="B21:C21"/>
    <mergeCell ref="D21:H21"/>
    <mergeCell ref="I21:M21"/>
    <mergeCell ref="N21:Q21"/>
    <mergeCell ref="R21:AB21"/>
    <mergeCell ref="AJ22:AM22"/>
    <mergeCell ref="B23:C23"/>
    <mergeCell ref="D23:H23"/>
    <mergeCell ref="I23:M23"/>
    <mergeCell ref="N23:Q23"/>
    <mergeCell ref="R23:AB23"/>
    <mergeCell ref="AC23:AI23"/>
    <mergeCell ref="AJ23:AM23"/>
    <mergeCell ref="B22:C22"/>
    <mergeCell ref="D22:H22"/>
    <mergeCell ref="AC25:AI25"/>
    <mergeCell ref="AJ25:AM25"/>
    <mergeCell ref="B24:C24"/>
    <mergeCell ref="D24:H24"/>
    <mergeCell ref="I24:M24"/>
    <mergeCell ref="N24:Q24"/>
    <mergeCell ref="R24:AB24"/>
    <mergeCell ref="AC24:AI24"/>
    <mergeCell ref="I26:M26"/>
    <mergeCell ref="N26:Q26"/>
    <mergeCell ref="R26:AB26"/>
    <mergeCell ref="AC26:AI26"/>
    <mergeCell ref="AJ24:AM24"/>
    <mergeCell ref="B25:C25"/>
    <mergeCell ref="D25:H25"/>
    <mergeCell ref="I25:M25"/>
    <mergeCell ref="N25:Q25"/>
    <mergeCell ref="R25:AB25"/>
    <mergeCell ref="AJ26:AM26"/>
    <mergeCell ref="B27:C27"/>
    <mergeCell ref="D27:H27"/>
    <mergeCell ref="I27:M27"/>
    <mergeCell ref="N27:Q27"/>
    <mergeCell ref="R27:AB27"/>
    <mergeCell ref="AC27:AI27"/>
    <mergeCell ref="AJ27:AM27"/>
    <mergeCell ref="B26:C26"/>
    <mergeCell ref="D26:H26"/>
    <mergeCell ref="AC29:AI29"/>
    <mergeCell ref="AJ29:AM29"/>
    <mergeCell ref="B28:C28"/>
    <mergeCell ref="D28:H28"/>
    <mergeCell ref="I28:M28"/>
    <mergeCell ref="N28:Q28"/>
    <mergeCell ref="R28:AB28"/>
    <mergeCell ref="AC28:AI28"/>
    <mergeCell ref="I30:M30"/>
    <mergeCell ref="N30:Q30"/>
    <mergeCell ref="R30:AB30"/>
    <mergeCell ref="AC30:AI30"/>
    <mergeCell ref="AJ28:AM28"/>
    <mergeCell ref="B29:C29"/>
    <mergeCell ref="D29:H29"/>
    <mergeCell ref="I29:M29"/>
    <mergeCell ref="N29:Q29"/>
    <mergeCell ref="R29:AB29"/>
    <mergeCell ref="AJ30:AM30"/>
    <mergeCell ref="B31:C31"/>
    <mergeCell ref="D31:H31"/>
    <mergeCell ref="I31:M31"/>
    <mergeCell ref="N31:Q31"/>
    <mergeCell ref="R31:AB31"/>
    <mergeCell ref="AC31:AI31"/>
    <mergeCell ref="AJ31:AM31"/>
    <mergeCell ref="B30:C30"/>
    <mergeCell ref="D30:H30"/>
    <mergeCell ref="AC33:AI33"/>
    <mergeCell ref="AJ33:AM33"/>
    <mergeCell ref="B32:C32"/>
    <mergeCell ref="D32:H32"/>
    <mergeCell ref="I32:M32"/>
    <mergeCell ref="N32:Q32"/>
    <mergeCell ref="R32:AB32"/>
    <mergeCell ref="AC32:AI32"/>
    <mergeCell ref="I34:M34"/>
    <mergeCell ref="N34:Q34"/>
    <mergeCell ref="R34:AB34"/>
    <mergeCell ref="AC34:AI34"/>
    <mergeCell ref="AJ32:AM32"/>
    <mergeCell ref="B33:C33"/>
    <mergeCell ref="D33:H33"/>
    <mergeCell ref="I33:M33"/>
    <mergeCell ref="N33:Q33"/>
    <mergeCell ref="R33:AB33"/>
    <mergeCell ref="AJ34:AM34"/>
    <mergeCell ref="B35:C35"/>
    <mergeCell ref="D35:H35"/>
    <mergeCell ref="I35:M35"/>
    <mergeCell ref="N35:Q35"/>
    <mergeCell ref="R35:AB35"/>
    <mergeCell ref="AC35:AI35"/>
    <mergeCell ref="AJ35:AM35"/>
    <mergeCell ref="B34:C34"/>
    <mergeCell ref="D34:H34"/>
    <mergeCell ref="AC37:AI37"/>
    <mergeCell ref="AJ37:AM37"/>
    <mergeCell ref="B36:C36"/>
    <mergeCell ref="D36:H36"/>
    <mergeCell ref="I36:M36"/>
    <mergeCell ref="N36:Q36"/>
    <mergeCell ref="R36:AB36"/>
    <mergeCell ref="AC36:AI36"/>
    <mergeCell ref="I38:M38"/>
    <mergeCell ref="N38:Q38"/>
    <mergeCell ref="R38:AB38"/>
    <mergeCell ref="AC38:AI38"/>
    <mergeCell ref="AJ36:AM36"/>
    <mergeCell ref="B37:C37"/>
    <mergeCell ref="D37:H37"/>
    <mergeCell ref="I37:M37"/>
    <mergeCell ref="N37:Q37"/>
    <mergeCell ref="R37:AB37"/>
    <mergeCell ref="AJ38:AM38"/>
    <mergeCell ref="B39:C39"/>
    <mergeCell ref="D39:H39"/>
    <mergeCell ref="I39:M39"/>
    <mergeCell ref="N39:Q39"/>
    <mergeCell ref="R39:AB39"/>
    <mergeCell ref="AC39:AI39"/>
    <mergeCell ref="AJ39:AM39"/>
    <mergeCell ref="B38:C38"/>
    <mergeCell ref="D38:H38"/>
    <mergeCell ref="AC41:AI41"/>
    <mergeCell ref="AJ41:AM41"/>
    <mergeCell ref="B40:C40"/>
    <mergeCell ref="D40:H40"/>
    <mergeCell ref="I40:M40"/>
    <mergeCell ref="N40:Q40"/>
    <mergeCell ref="R40:AB40"/>
    <mergeCell ref="AC40:AI40"/>
    <mergeCell ref="I42:M42"/>
    <mergeCell ref="N42:Q42"/>
    <mergeCell ref="R42:AB42"/>
    <mergeCell ref="AC42:AI42"/>
    <mergeCell ref="AJ40:AM40"/>
    <mergeCell ref="B41:C41"/>
    <mergeCell ref="D41:H41"/>
    <mergeCell ref="I41:M41"/>
    <mergeCell ref="N41:Q41"/>
    <mergeCell ref="R41:AB41"/>
    <mergeCell ref="AJ42:AM42"/>
    <mergeCell ref="B43:C43"/>
    <mergeCell ref="D43:H43"/>
    <mergeCell ref="I43:M43"/>
    <mergeCell ref="N43:Q43"/>
    <mergeCell ref="R43:AB43"/>
    <mergeCell ref="AC43:AI43"/>
    <mergeCell ref="AJ43:AM43"/>
    <mergeCell ref="B42:C42"/>
    <mergeCell ref="D42:H42"/>
    <mergeCell ref="B46:J47"/>
    <mergeCell ref="K46:N47"/>
    <mergeCell ref="AD46:AH46"/>
    <mergeCell ref="AI46:AM46"/>
    <mergeCell ref="Q47:AC47"/>
    <mergeCell ref="AD47:AH47"/>
    <mergeCell ref="AI47:AM47"/>
    <mergeCell ref="B48:J49"/>
    <mergeCell ref="K48:N49"/>
    <mergeCell ref="Q48:AC48"/>
    <mergeCell ref="AD48:AH48"/>
    <mergeCell ref="AI48:AM48"/>
    <mergeCell ref="Q49:AC49"/>
    <mergeCell ref="AD49:AH49"/>
    <mergeCell ref="AI49:AM49"/>
    <mergeCell ref="Q50:AC50"/>
    <mergeCell ref="AD50:AH50"/>
    <mergeCell ref="AI50:AM50"/>
    <mergeCell ref="Q51:AC51"/>
    <mergeCell ref="AD51:AM51"/>
    <mergeCell ref="Q53:AC53"/>
    <mergeCell ref="AD53:AH53"/>
    <mergeCell ref="AI53:AM53"/>
    <mergeCell ref="Q56:AM57"/>
    <mergeCell ref="Q54:AC54"/>
    <mergeCell ref="AD54:AH54"/>
    <mergeCell ref="AI54:AM54"/>
    <mergeCell ref="AD52:AH52"/>
    <mergeCell ref="AI52:AM52"/>
  </mergeCells>
  <dataValidations count="7">
    <dataValidation allowBlank="1" showErrorMessage="1" sqref="AA13:AM13">
      <formula1>0</formula1>
      <formula2>0</formula2>
    </dataValidation>
    <dataValidation type="list" allowBlank="1" showInputMessage="1" showErrorMessage="1" promptTitle="Vyberte dekor fólie ze seznamu" prompt="Po výběru tvaru zobrazí dostupné dekory fólií přední strany řazeny dle cenových skupin." sqref="L16:Z16">
      <formula1>folie_overeni</formula1>
      <formula2>0</formula2>
    </dataValidation>
    <dataValidation type="list" allowBlank="1" showInputMessage="1" showErrorMessage="1" prompt="Vyberte tvar frézování ze seznamu.&#10;Pro VYSOKÝ LESK doporučujeme tvar D07-R3." sqref="B16:K16">
      <formula1>tvar_vyber</formula1>
      <formula2>0</formula2>
    </dataValidation>
    <dataValidation type="list" allowBlank="1" showInputMessage="1" showErrorMessage="1" promptTitle="Vyberte typ dvířek" prompt="Zobrazí dostupné provedení dvířek včetně skleněných výplní, které můžeme dodat." sqref="R19:R43">
      <formula1>sklo_overeni</formula1>
      <formula2>0</formula2>
    </dataValidation>
    <dataValidation type="list" allowBlank="1" showInputMessage="1" showErrorMessage="1" prompt="Zadejte požadovaný směr let. Léta vodorovně pro výšku max. 1200 mm!" sqref="AC19:AI43">
      <formula1>$BB$3:$BB$4</formula1>
      <formula2>0</formula2>
    </dataValidation>
    <dataValidation type="list" allowBlank="1" showInputMessage="1" showErrorMessage="1" prompt="Vyberte tvar věncové lišty" sqref="B48:J49">
      <formula1>vencove_overeni</formula1>
      <formula2>0</formula2>
    </dataValidation>
    <dataValidation type="list" allowBlank="1" showInputMessage="1" showErrorMessage="1" sqref="AA16:AK16">
      <formula1>$BH$21:$BH$31</formula1>
    </dataValidation>
  </dataValidations>
  <printOptions/>
  <pageMargins left="0.3937007874015748" right="0.3937007874015748" top="0.5511811023622047" bottom="0.5511811023622047" header="0.5118110236220472" footer="0.5118110236220472"/>
  <pageSetup horizontalDpi="300" verticalDpi="300" orientation="portrait" paperSize="9" scale="95" r:id="rId4"/>
  <rowBreaks count="1" manualBreakCount="1">
    <brk id="58" max="3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1"/>
  <sheetViews>
    <sheetView zoomScaleSheetLayoutView="100" zoomScalePageLayoutView="0" workbookViewId="0" topLeftCell="AI16">
      <selection activeCell="AJ21" sqref="AJ21"/>
    </sheetView>
  </sheetViews>
  <sheetFormatPr defaultColWidth="9.140625" defaultRowHeight="12.75"/>
  <cols>
    <col min="1" max="1" width="10.57421875" style="40" hidden="1" customWidth="1"/>
    <col min="2" max="2" width="10.57421875" style="41" hidden="1" customWidth="1"/>
    <col min="3" max="3" width="20.421875" style="40" hidden="1" customWidth="1"/>
    <col min="4" max="7" width="10.57421875" style="41" hidden="1" customWidth="1"/>
    <col min="8" max="34" width="10.57421875" style="0" hidden="1" customWidth="1"/>
    <col min="35" max="41" width="10.57421875" style="0" customWidth="1"/>
  </cols>
  <sheetData>
    <row r="1" spans="1:13" ht="12.75">
      <c r="A1" s="42" t="s">
        <v>63</v>
      </c>
      <c r="B1" s="42" t="s">
        <v>64</v>
      </c>
      <c r="C1" s="42" t="s">
        <v>65</v>
      </c>
      <c r="D1" s="42"/>
      <c r="E1" s="43"/>
      <c r="F1" s="43"/>
      <c r="G1" s="43"/>
      <c r="I1" s="44" t="s">
        <v>66</v>
      </c>
      <c r="K1" s="44" t="s">
        <v>67</v>
      </c>
      <c r="M1" s="44" t="s">
        <v>68</v>
      </c>
    </row>
    <row r="2" spans="1:17" ht="12.75">
      <c r="A2" s="42" t="s">
        <v>69</v>
      </c>
      <c r="B2" s="42"/>
      <c r="C2" s="42"/>
      <c r="D2" s="42"/>
      <c r="E2" s="43"/>
      <c r="F2" s="43"/>
      <c r="G2" s="43"/>
      <c r="I2" t="str">
        <f aca="true" t="shared" si="0" ref="I2:I114">A2</f>
        <v>                      standartní fólie skupina 1</v>
      </c>
      <c r="J2" s="240"/>
      <c r="K2" t="str">
        <f>A239</f>
        <v>plné dveře</v>
      </c>
      <c r="M2" t="str">
        <f>IF($Q$3&lt;$Q$2,A232,"v tomto dekoru nelze")</f>
        <v>A</v>
      </c>
      <c r="P2" s="45" t="s">
        <v>70</v>
      </c>
      <c r="Q2" s="45">
        <v>123</v>
      </c>
    </row>
    <row r="3" spans="1:21" ht="12.75">
      <c r="A3" s="46"/>
      <c r="B3" s="47"/>
      <c r="C3" s="214" t="s">
        <v>650</v>
      </c>
      <c r="D3" s="48"/>
      <c r="I3">
        <f t="shared" si="0"/>
        <v>0</v>
      </c>
      <c r="K3">
        <f>IF(INDEX(tvar_komplet,Objednávka!$BC$16,7)="x",A240,"")</f>
      </c>
      <c r="M3" t="str">
        <f>IF($Q$3&lt;$Q$2,A233,"v tomto dekoru nelze")</f>
        <v>B</v>
      </c>
      <c r="P3" t="s">
        <v>24</v>
      </c>
      <c r="Q3" s="49">
        <f>Objednávka!BC15</f>
        <v>3</v>
      </c>
      <c r="U3" t="s">
        <v>657</v>
      </c>
    </row>
    <row r="4" spans="1:23" ht="38.25">
      <c r="A4" s="280" t="str">
        <f aca="true" t="shared" si="1" ref="A4:A10">CONCATENATE(D4," ",E4)</f>
        <v>9273 Sněhově bílá              </v>
      </c>
      <c r="B4" s="47">
        <v>1</v>
      </c>
      <c r="C4" s="41"/>
      <c r="D4" s="284">
        <v>9273</v>
      </c>
      <c r="E4" s="281" t="s">
        <v>435</v>
      </c>
      <c r="F4" s="281"/>
      <c r="G4" s="194"/>
      <c r="I4" t="str">
        <f t="shared" si="0"/>
        <v>9273 Sněhově bílá              </v>
      </c>
      <c r="K4">
        <f>IF(INDEX(tvar_komplet,Objednávka!$BC$16,7)="x",A241,"")</f>
      </c>
      <c r="M4" t="str">
        <f>IF($Q$3&lt;$Q$2,A234,"v tomto dekoru nelze")</f>
        <v>C</v>
      </c>
      <c r="U4" s="56" t="str">
        <f>CONCATENATE(V4," ",W4)</f>
        <v>ddd ddd</v>
      </c>
      <c r="V4" s="56" t="s">
        <v>636</v>
      </c>
      <c r="W4" s="56" t="s">
        <v>636</v>
      </c>
    </row>
    <row r="5" spans="1:23" ht="25.5">
      <c r="A5" s="280" t="str">
        <f t="shared" si="1"/>
        <v>10056 Bílá perlička</v>
      </c>
      <c r="B5" s="47">
        <v>1</v>
      </c>
      <c r="D5" s="284" t="s">
        <v>659</v>
      </c>
      <c r="E5" s="281" t="s">
        <v>432</v>
      </c>
      <c r="F5" s="281"/>
      <c r="G5" s="199"/>
      <c r="I5" t="str">
        <f t="shared" si="0"/>
        <v>10056 Bílá perlička</v>
      </c>
      <c r="K5" t="str">
        <f>IF(INDEX(tvar_komplet,Objednávka!$BC$16,6)="x",A242,"")</f>
        <v>rám pro sklo bez zasklení</v>
      </c>
      <c r="M5" t="str">
        <f>IF($Q$3&lt;$Q$2,A235,"v tomto dekoru nelze")</f>
        <v>D</v>
      </c>
      <c r="U5" t="str">
        <f aca="true" t="shared" si="2" ref="U5:U76">CONCATENATE(V5," ",W5)</f>
        <v>3120 Bordó vysoký lesk</v>
      </c>
      <c r="V5" s="269" t="s">
        <v>638</v>
      </c>
      <c r="W5" s="270" t="s">
        <v>582</v>
      </c>
    </row>
    <row r="6" spans="1:23" ht="25.5">
      <c r="A6" s="280" t="str">
        <f t="shared" si="1"/>
        <v>11015 Vanilka</v>
      </c>
      <c r="B6" s="47">
        <v>1</v>
      </c>
      <c r="C6" s="48"/>
      <c r="D6" s="284" t="s">
        <v>658</v>
      </c>
      <c r="E6" s="281" t="s">
        <v>434</v>
      </c>
      <c r="F6" s="281"/>
      <c r="G6" s="199"/>
      <c r="I6" t="str">
        <f>A6</f>
        <v>11015 Vanilka</v>
      </c>
      <c r="K6" t="str">
        <f>IF(INDEX(tvar_komplet,Objednávka!$BC$16,6)="x",A243,"")</f>
        <v>                      Zasklení těmito skly:</v>
      </c>
      <c r="M6" t="str">
        <f>IF($Q$3&lt;$Q$2,A236,"v tomto dekoru nelze")</f>
        <v>E</v>
      </c>
      <c r="U6" t="str">
        <f t="shared" si="2"/>
        <v>9700 Bílá vysoký lesk PET</v>
      </c>
      <c r="V6" s="271" t="s">
        <v>639</v>
      </c>
      <c r="W6" s="272" t="s">
        <v>577</v>
      </c>
    </row>
    <row r="7" spans="1:23" ht="25.5">
      <c r="A7" s="280" t="str">
        <f t="shared" si="1"/>
        <v>dv0124 Bílý fládr</v>
      </c>
      <c r="B7" s="47">
        <v>1</v>
      </c>
      <c r="C7" s="48"/>
      <c r="D7" s="284" t="s">
        <v>305</v>
      </c>
      <c r="E7" s="281" t="s">
        <v>438</v>
      </c>
      <c r="F7" s="281"/>
      <c r="G7" s="199"/>
      <c r="I7" s="193" t="str">
        <f>A7</f>
        <v>dv0124 Bílý fládr</v>
      </c>
      <c r="K7" t="str">
        <f>IF(INDEX(tvar_komplet,Objednávka!$BC$16,6)="x",A244,"")</f>
        <v>                      Čirá skla</v>
      </c>
      <c r="U7" t="str">
        <f t="shared" si="2"/>
        <v>dv0035 Vanilla lesk</v>
      </c>
      <c r="V7" s="273" t="s">
        <v>579</v>
      </c>
      <c r="W7" s="274" t="s">
        <v>580</v>
      </c>
    </row>
    <row r="8" spans="1:23" ht="25.5">
      <c r="A8" s="280" t="str">
        <f t="shared" si="1"/>
        <v>dv0224 Bílá koženka</v>
      </c>
      <c r="B8" s="47">
        <v>1</v>
      </c>
      <c r="C8" s="48"/>
      <c r="D8" s="284" t="s">
        <v>299</v>
      </c>
      <c r="E8" s="281" t="s">
        <v>439</v>
      </c>
      <c r="F8" s="281"/>
      <c r="G8" s="199"/>
      <c r="I8" t="str">
        <f>A8</f>
        <v>dv0224 Bílá koženka</v>
      </c>
      <c r="K8" t="str">
        <f>IF(INDEX(tvar_komplet,Objednávka!$BC$16,6)="x",A245,"")</f>
        <v>Float</v>
      </c>
      <c r="U8" t="str">
        <f t="shared" si="2"/>
        <v>dv7007 černá lesk</v>
      </c>
      <c r="V8" s="265" t="s">
        <v>640</v>
      </c>
      <c r="W8" s="275" t="s">
        <v>641</v>
      </c>
    </row>
    <row r="9" spans="1:23" ht="38.25">
      <c r="A9" s="280" t="str">
        <f t="shared" si="1"/>
        <v>dv0594 Černá perlička</v>
      </c>
      <c r="B9" s="47">
        <v>1</v>
      </c>
      <c r="C9" s="48"/>
      <c r="D9" s="284" t="s">
        <v>448</v>
      </c>
      <c r="E9" s="281" t="s">
        <v>451</v>
      </c>
      <c r="F9" s="281"/>
      <c r="G9" s="199"/>
      <c r="I9" s="193" t="str">
        <f>A9</f>
        <v>dv0594 Černá perlička</v>
      </c>
      <c r="K9" t="str">
        <f>IF(INDEX(tvar_komplet,Objednávka!$BC$16,6)="x",A246,"")</f>
        <v>Float extra čirý - DIAMANT</v>
      </c>
      <c r="U9" t="str">
        <f t="shared" si="2"/>
        <v>7079001 Jasmín vysoký lesk</v>
      </c>
      <c r="V9" s="196">
        <v>7079001</v>
      </c>
      <c r="W9" s="202" t="s">
        <v>581</v>
      </c>
    </row>
    <row r="10" spans="1:23" ht="25.5">
      <c r="A10" s="280" t="str">
        <f t="shared" si="1"/>
        <v>dv1918 Oranžová</v>
      </c>
      <c r="B10" s="47">
        <v>1</v>
      </c>
      <c r="C10" s="48"/>
      <c r="D10" s="284" t="s">
        <v>930</v>
      </c>
      <c r="E10" s="281" t="s">
        <v>805</v>
      </c>
      <c r="F10" s="281"/>
      <c r="G10" s="199"/>
      <c r="I10" t="str">
        <f t="shared" si="0"/>
        <v>dv1918 Oranžová</v>
      </c>
      <c r="K10" t="str">
        <f>IF(INDEX(tvar_komplet,Objednávka!$BC$16,6)="x",A247,"")</f>
        <v>Planibel bronz</v>
      </c>
      <c r="U10" t="str">
        <f t="shared" si="2"/>
        <v>dv1925 šedá lesk</v>
      </c>
      <c r="V10" s="276" t="s">
        <v>642</v>
      </c>
      <c r="W10" s="277" t="s">
        <v>643</v>
      </c>
    </row>
    <row r="11" spans="1:23" ht="25.5">
      <c r="A11" s="280" t="str">
        <f aca="true" t="shared" si="3" ref="A11:A16">CONCATENATE(D11," ",E11)</f>
        <v>dv1923 Mandarinka</v>
      </c>
      <c r="B11" s="47">
        <v>1</v>
      </c>
      <c r="C11" s="41"/>
      <c r="D11" s="282" t="s">
        <v>661</v>
      </c>
      <c r="E11" s="282" t="s">
        <v>463</v>
      </c>
      <c r="F11" s="281"/>
      <c r="G11" s="195"/>
      <c r="I11" t="str">
        <f t="shared" si="0"/>
        <v>dv1923 Mandarinka</v>
      </c>
      <c r="K11" t="str">
        <f>IF(INDEX(tvar_komplet,Objednávka!$BC$16,6)="x",A248,"")</f>
        <v>Planibel šedý</v>
      </c>
      <c r="U11" t="str">
        <f t="shared" si="2"/>
        <v>dv2010 světle šedá vys.lesk</v>
      </c>
      <c r="V11" s="278" t="s">
        <v>644</v>
      </c>
      <c r="W11" s="275" t="s">
        <v>645</v>
      </c>
    </row>
    <row r="12" spans="1:23" ht="25.5">
      <c r="A12" s="280" t="str">
        <f t="shared" si="3"/>
        <v>dv2064 Krémová</v>
      </c>
      <c r="B12" s="47">
        <v>1</v>
      </c>
      <c r="C12" s="48"/>
      <c r="D12" s="282" t="s">
        <v>298</v>
      </c>
      <c r="E12" s="281" t="s">
        <v>446</v>
      </c>
      <c r="F12" s="281"/>
      <c r="G12" s="47"/>
      <c r="I12" t="str">
        <f t="shared" si="0"/>
        <v>dv2064 Krémová</v>
      </c>
      <c r="K12" t="str">
        <f>IF(INDEX(tvar_komplet,Objednávka!$BC$16,6)="x",A249,"")</f>
        <v>Planibel tmavě šedý</v>
      </c>
      <c r="U12" t="str">
        <f t="shared" si="2"/>
        <v>BL3001 červená vys. lesk</v>
      </c>
      <c r="V12" s="276" t="s">
        <v>646</v>
      </c>
      <c r="W12" s="279" t="s">
        <v>647</v>
      </c>
    </row>
    <row r="13" spans="1:23" ht="25.5">
      <c r="A13" s="280" t="str">
        <f t="shared" si="3"/>
        <v>dv2064 Krémová</v>
      </c>
      <c r="B13" s="47">
        <v>1</v>
      </c>
      <c r="C13" s="48"/>
      <c r="D13" s="282" t="s">
        <v>298</v>
      </c>
      <c r="E13" s="281" t="s">
        <v>446</v>
      </c>
      <c r="F13" s="281"/>
      <c r="G13" s="47"/>
      <c r="I13" t="str">
        <f t="shared" si="0"/>
        <v>dv2064 Krémová</v>
      </c>
      <c r="K13" t="str">
        <f>IF(INDEX(tvar_komplet,Objednávka!$BC$16,6)="x",A250,"")</f>
        <v>Lakomat bílý</v>
      </c>
      <c r="U13" t="str">
        <f t="shared" si="2"/>
        <v>dv1929 fialová lesk</v>
      </c>
      <c r="V13" s="278" t="s">
        <v>648</v>
      </c>
      <c r="W13" s="268" t="s">
        <v>649</v>
      </c>
    </row>
    <row r="14" spans="1:23" ht="25.5">
      <c r="A14" s="280" t="str">
        <f t="shared" si="3"/>
        <v>dv2101 kachmir</v>
      </c>
      <c r="B14" s="47">
        <v>1</v>
      </c>
      <c r="C14" s="48"/>
      <c r="D14" s="283" t="s">
        <v>662</v>
      </c>
      <c r="E14" s="283" t="s">
        <v>663</v>
      </c>
      <c r="F14" s="281"/>
      <c r="G14" s="47"/>
      <c r="I14" t="str">
        <f t="shared" si="0"/>
        <v>dv2101 kachmir</v>
      </c>
      <c r="K14" t="str">
        <f>IF(INDEX(tvar_komplet,Objednávka!$BC$16,6)="x",A251,"")</f>
        <v>Satináto bílé</v>
      </c>
      <c r="U14" t="str">
        <f t="shared" si="2"/>
        <v> </v>
      </c>
      <c r="V14" s="197"/>
      <c r="W14" s="197"/>
    </row>
    <row r="15" spans="1:23" ht="12.75" customHeight="1">
      <c r="A15" s="280" t="str">
        <f t="shared" si="3"/>
        <v>dv4220 Písková             </v>
      </c>
      <c r="B15" s="47">
        <v>1</v>
      </c>
      <c r="C15" s="48"/>
      <c r="D15" s="282" t="s">
        <v>443</v>
      </c>
      <c r="E15" s="281" t="s">
        <v>726</v>
      </c>
      <c r="F15" s="281"/>
      <c r="G15" s="47"/>
      <c r="I15" t="str">
        <f t="shared" si="0"/>
        <v>dv4220 Písková             </v>
      </c>
      <c r="K15" t="str">
        <f>IF(INDEX(tvar_komplet,Objednávka!$BC$16,6)="x",A252,"")</f>
        <v>Satin extra čirý</v>
      </c>
      <c r="U15" t="str">
        <f t="shared" si="2"/>
        <v> </v>
      </c>
      <c r="V15" s="263"/>
      <c r="W15" s="264"/>
    </row>
    <row r="16" spans="1:23" ht="25.5">
      <c r="A16" s="280" t="str">
        <f t="shared" si="3"/>
        <v>dv9859 Jasmín </v>
      </c>
      <c r="B16" s="47">
        <v>1</v>
      </c>
      <c r="C16" s="48"/>
      <c r="D16" s="282" t="s">
        <v>297</v>
      </c>
      <c r="E16" s="281" t="s">
        <v>660</v>
      </c>
      <c r="F16" s="281"/>
      <c r="G16" s="47"/>
      <c r="I16" t="str">
        <f t="shared" si="0"/>
        <v>dv9859 Jasmín </v>
      </c>
      <c r="K16" t="str">
        <f>IF(INDEX(tvar_komplet,Objednávka!$BC$16,6)="x",A253,"")</f>
        <v>Satináto bronzové</v>
      </c>
      <c r="U16" t="str">
        <f t="shared" si="2"/>
        <v> </v>
      </c>
      <c r="V16" s="265"/>
      <c r="W16" s="266"/>
    </row>
    <row r="17" spans="1:23" ht="38.25">
      <c r="A17" s="280" t="str">
        <f aca="true" t="shared" si="4" ref="A17:A38">CONCATENATE(D17," ",E17)</f>
        <v>gr2022 Ledová modř</v>
      </c>
      <c r="B17" s="47">
        <v>1</v>
      </c>
      <c r="C17" s="48"/>
      <c r="D17" s="282" t="s">
        <v>798</v>
      </c>
      <c r="E17" s="281" t="s">
        <v>799</v>
      </c>
      <c r="F17" s="281"/>
      <c r="G17" s="47"/>
      <c r="I17" t="str">
        <f t="shared" si="0"/>
        <v>gr2022 Ledová modř</v>
      </c>
      <c r="K17" t="str">
        <f>IF(INDEX(tvar_komplet,Objednávka!$BC$16,6)="x",A254,"")</f>
        <v>Satináto šedé</v>
      </c>
      <c r="V17" s="265"/>
      <c r="W17" s="266"/>
    </row>
    <row r="18" spans="1:23" ht="25.5">
      <c r="A18" s="280" t="str">
        <f t="shared" si="4"/>
        <v>gr2024 Bordó</v>
      </c>
      <c r="B18" s="47">
        <v>1</v>
      </c>
      <c r="C18" s="48"/>
      <c r="D18" s="282" t="s">
        <v>800</v>
      </c>
      <c r="E18" s="281" t="s">
        <v>801</v>
      </c>
      <c r="F18" s="281"/>
      <c r="G18" s="47"/>
      <c r="I18" t="str">
        <f t="shared" si="0"/>
        <v>gr2024 Bordó</v>
      </c>
      <c r="K18">
        <f>IF(INDEX(tvar_komplet,Objednávka!$BC$16,6)="x",A255,"")</f>
        <v>0</v>
      </c>
      <c r="V18" s="265"/>
      <c r="W18" s="266"/>
    </row>
    <row r="19" spans="1:23" ht="25.5">
      <c r="A19" s="280" t="str">
        <f t="shared" si="4"/>
        <v>gr2036 Meruňka</v>
      </c>
      <c r="B19" s="47">
        <v>1</v>
      </c>
      <c r="C19" s="48"/>
      <c r="D19" s="282" t="s">
        <v>802</v>
      </c>
      <c r="E19" s="281" t="s">
        <v>803</v>
      </c>
      <c r="F19" s="281"/>
      <c r="G19" s="47"/>
      <c r="I19" t="str">
        <f t="shared" si="0"/>
        <v>gr2036 Meruňka</v>
      </c>
      <c r="K19" t="str">
        <f>IF(INDEX(tvar_komplet,Objednávka!$BC$16,6)="x",A256,"")</f>
        <v>                      Ornamentní skla</v>
      </c>
      <c r="V19" s="265"/>
      <c r="W19" s="266"/>
    </row>
    <row r="20" spans="1:23" ht="25.5">
      <c r="A20" s="280" t="str">
        <f t="shared" si="4"/>
        <v>gr2041 Oranžová</v>
      </c>
      <c r="B20" s="47">
        <v>1</v>
      </c>
      <c r="C20" s="48"/>
      <c r="D20" s="282" t="s">
        <v>804</v>
      </c>
      <c r="E20" s="281" t="s">
        <v>805</v>
      </c>
      <c r="F20" s="281"/>
      <c r="G20" s="47"/>
      <c r="I20" t="str">
        <f t="shared" si="0"/>
        <v>gr2041 Oranžová</v>
      </c>
      <c r="K20" t="str">
        <f>IF(INDEX(tvar_komplet,Objednávka!$BC$16,6)="x",A257,"")</f>
        <v>Crepi</v>
      </c>
      <c r="V20" s="265"/>
      <c r="W20" s="266"/>
    </row>
    <row r="21" spans="1:23" ht="38.25">
      <c r="A21" s="280" t="str">
        <f t="shared" si="4"/>
        <v>gr2051 Tmavě zelená</v>
      </c>
      <c r="B21" s="47">
        <v>1</v>
      </c>
      <c r="C21" s="48"/>
      <c r="D21" s="282" t="s">
        <v>806</v>
      </c>
      <c r="E21" s="281" t="s">
        <v>807</v>
      </c>
      <c r="F21" s="281"/>
      <c r="G21" s="47"/>
      <c r="I21" t="str">
        <f t="shared" si="0"/>
        <v>gr2051 Tmavě zelená</v>
      </c>
      <c r="K21" t="str">
        <f>IF(INDEX(tvar_komplet,Objednávka!$BC$16,6)="x",A258,"")</f>
        <v>Činčila čirá</v>
      </c>
      <c r="V21" s="265"/>
      <c r="W21" s="266"/>
    </row>
    <row r="22" spans="1:23" ht="25.5">
      <c r="A22" s="280" t="str">
        <f t="shared" si="4"/>
        <v>gr2052 Cihlová</v>
      </c>
      <c r="B22" s="47">
        <v>1</v>
      </c>
      <c r="C22" s="48"/>
      <c r="D22" s="282" t="s">
        <v>808</v>
      </c>
      <c r="E22" s="281" t="s">
        <v>809</v>
      </c>
      <c r="F22" s="281"/>
      <c r="G22" s="47"/>
      <c r="I22" t="str">
        <f t="shared" si="0"/>
        <v>gr2052 Cihlová</v>
      </c>
      <c r="K22" t="str">
        <f>IF(INDEX(tvar_komplet,Objednávka!$BC$16,6)="x",A259,"")</f>
        <v>Flutes  čirý</v>
      </c>
      <c r="V22" s="265"/>
      <c r="W22" s="266"/>
    </row>
    <row r="23" spans="1:23" ht="25.5">
      <c r="A23" s="280" t="str">
        <f t="shared" si="4"/>
        <v>gr2057 Šedá modř</v>
      </c>
      <c r="B23" s="47">
        <v>1</v>
      </c>
      <c r="C23" s="48"/>
      <c r="D23" s="282" t="s">
        <v>810</v>
      </c>
      <c r="E23" s="281" t="s">
        <v>811</v>
      </c>
      <c r="F23" s="281"/>
      <c r="G23" s="47"/>
      <c r="I23" t="str">
        <f t="shared" si="0"/>
        <v>gr2057 Šedá modř</v>
      </c>
      <c r="K23" t="str">
        <f>IF(INDEX(tvar_komplet,Objednávka!$BC$16,6)="x",A260,"")</f>
        <v>Kathedral klein</v>
      </c>
      <c r="V23" s="265"/>
      <c r="W23" s="266"/>
    </row>
    <row r="24" spans="1:23" ht="25.5">
      <c r="A24" s="280" t="str">
        <f t="shared" si="4"/>
        <v>gr2032 Mahagon</v>
      </c>
      <c r="B24" s="47">
        <v>1</v>
      </c>
      <c r="C24" s="48"/>
      <c r="D24" s="282" t="s">
        <v>812</v>
      </c>
      <c r="E24" s="281" t="s">
        <v>682</v>
      </c>
      <c r="F24" s="281"/>
      <c r="G24" s="47"/>
      <c r="I24" t="str">
        <f t="shared" si="0"/>
        <v>gr2032 Mahagon</v>
      </c>
      <c r="K24" t="str">
        <f>IF(INDEX(tvar_komplet,Objednávka!$BC$16,6)="x",A261,"")</f>
        <v>Krizet</v>
      </c>
      <c r="V24" s="265"/>
      <c r="W24" s="266"/>
    </row>
    <row r="25" spans="1:23" ht="38.25">
      <c r="A25" s="280" t="str">
        <f t="shared" si="4"/>
        <v>gr2058 Cappuccino</v>
      </c>
      <c r="B25" s="47">
        <v>1</v>
      </c>
      <c r="C25" s="48"/>
      <c r="D25" s="282" t="s">
        <v>813</v>
      </c>
      <c r="E25" s="281" t="s">
        <v>814</v>
      </c>
      <c r="F25" s="281"/>
      <c r="G25" s="47"/>
      <c r="I25" t="str">
        <f t="shared" si="0"/>
        <v>gr2058 Cappuccino</v>
      </c>
      <c r="K25" t="str">
        <f>IF(INDEX(tvar_komplet,Objednávka!$BC$16,6)="x",A262,"")</f>
        <v>Kůra čirá</v>
      </c>
      <c r="V25" s="265"/>
      <c r="W25" s="266"/>
    </row>
    <row r="26" spans="1:23" ht="25.5">
      <c r="A26" s="280" t="str">
        <f t="shared" si="4"/>
        <v>gr2064 Lila mat</v>
      </c>
      <c r="B26" s="47">
        <v>1</v>
      </c>
      <c r="C26" s="48"/>
      <c r="D26" s="282" t="s">
        <v>815</v>
      </c>
      <c r="E26" s="281" t="s">
        <v>816</v>
      </c>
      <c r="F26" s="281"/>
      <c r="G26" s="47"/>
      <c r="I26" t="str">
        <f t="shared" si="0"/>
        <v>gr2064 Lila mat</v>
      </c>
      <c r="K26" t="str">
        <f>IF(INDEX(tvar_komplet,Objednávka!$BC$16,6)="x",A263,"")</f>
        <v>Masterligne</v>
      </c>
      <c r="V26" s="265"/>
      <c r="W26" s="266"/>
    </row>
    <row r="27" spans="1:23" ht="25.5">
      <c r="A27" s="280" t="str">
        <f t="shared" si="4"/>
        <v>gr2033 Dub světlý</v>
      </c>
      <c r="B27" s="47">
        <v>1</v>
      </c>
      <c r="C27" s="48"/>
      <c r="D27" s="282" t="s">
        <v>817</v>
      </c>
      <c r="E27" s="281" t="s">
        <v>473</v>
      </c>
      <c r="F27" s="281"/>
      <c r="G27" s="47"/>
      <c r="I27" t="str">
        <f t="shared" si="0"/>
        <v>gr2033 Dub světlý</v>
      </c>
      <c r="K27" t="str">
        <f>IF(INDEX(tvar_komplet,Objednávka!$BC$16,6)="x",A264,"")</f>
        <v>Masterpoint</v>
      </c>
      <c r="V27" s="265"/>
      <c r="W27" s="266"/>
    </row>
    <row r="28" spans="1:23" ht="25.5">
      <c r="A28" s="280" t="str">
        <f t="shared" si="4"/>
        <v>gr2002 Olše honey</v>
      </c>
      <c r="B28" s="47">
        <v>1</v>
      </c>
      <c r="C28" s="48"/>
      <c r="D28" s="282" t="s">
        <v>818</v>
      </c>
      <c r="E28" s="281" t="s">
        <v>819</v>
      </c>
      <c r="F28" s="281"/>
      <c r="G28" s="47"/>
      <c r="I28" t="str">
        <f t="shared" si="0"/>
        <v>gr2002 Olše honey</v>
      </c>
      <c r="K28" t="str">
        <f>IF(INDEX(tvar_komplet,Objednávka!$BC$16,6)="x",A265,"")</f>
        <v>Mastercarre</v>
      </c>
      <c r="V28" s="265"/>
      <c r="W28" s="266"/>
    </row>
    <row r="29" spans="1:23" ht="38.25">
      <c r="A29" s="280" t="str">
        <f t="shared" si="4"/>
        <v>gr2013 Calvados světlý</v>
      </c>
      <c r="B29" s="47">
        <v>1</v>
      </c>
      <c r="C29" s="48"/>
      <c r="D29" s="282" t="s">
        <v>820</v>
      </c>
      <c r="E29" s="281" t="s">
        <v>821</v>
      </c>
      <c r="F29" s="281"/>
      <c r="G29" s="47"/>
      <c r="I29" t="str">
        <f t="shared" si="0"/>
        <v>gr2013 Calvados světlý</v>
      </c>
      <c r="K29" t="str">
        <f>IF(INDEX(tvar_komplet,Objednávka!$BC$16,6)="x",A266,"")</f>
        <v>Pavé bílé</v>
      </c>
      <c r="V29" s="265"/>
      <c r="W29" s="266"/>
    </row>
    <row r="30" spans="1:23" ht="25.5">
      <c r="A30" s="280" t="str">
        <f t="shared" si="4"/>
        <v>gr2040 Ořech saw</v>
      </c>
      <c r="B30" s="47">
        <v>1</v>
      </c>
      <c r="C30" s="48"/>
      <c r="D30" s="282" t="s">
        <v>822</v>
      </c>
      <c r="E30" s="281" t="s">
        <v>823</v>
      </c>
      <c r="F30" s="281"/>
      <c r="G30" s="47"/>
      <c r="I30" t="str">
        <f t="shared" si="0"/>
        <v>gr2040 Ořech saw</v>
      </c>
      <c r="K30" t="str">
        <f>IF(INDEX(tvar_komplet,Objednávka!$BC$16,6)="x",A267,"")</f>
        <v>Thela čirá</v>
      </c>
      <c r="M30" s="152"/>
      <c r="N30" s="152"/>
      <c r="O30" s="152"/>
      <c r="V30" s="265"/>
      <c r="W30" s="266"/>
    </row>
    <row r="31" spans="1:23" ht="25.5">
      <c r="A31" s="280" t="str">
        <f t="shared" si="4"/>
        <v>gr2045 Modrá</v>
      </c>
      <c r="B31" s="47">
        <v>1</v>
      </c>
      <c r="C31" s="48"/>
      <c r="D31" s="282" t="s">
        <v>824</v>
      </c>
      <c r="E31" s="281" t="s">
        <v>825</v>
      </c>
      <c r="F31" s="281"/>
      <c r="G31" s="47"/>
      <c r="I31" t="str">
        <f t="shared" si="0"/>
        <v>gr2045 Modrá</v>
      </c>
      <c r="K31" t="str">
        <f>IF(INDEX(tvar_komplet,Objednávka!$BC$16,6)="x",A268,"")</f>
        <v>Screen</v>
      </c>
      <c r="M31" s="153"/>
      <c r="N31" s="153"/>
      <c r="O31" s="153"/>
      <c r="V31" s="265"/>
      <c r="W31" s="266"/>
    </row>
    <row r="32" spans="1:23" ht="38.25">
      <c r="A32" s="280" t="str">
        <f t="shared" si="4"/>
        <v>gr2055 Meranti světlé</v>
      </c>
      <c r="B32" s="47">
        <v>1</v>
      </c>
      <c r="C32" s="48"/>
      <c r="D32" s="282" t="s">
        <v>826</v>
      </c>
      <c r="E32" s="281" t="s">
        <v>827</v>
      </c>
      <c r="F32" s="281"/>
      <c r="G32" s="47"/>
      <c r="I32" t="str">
        <f t="shared" si="0"/>
        <v>gr2055 Meranti světlé</v>
      </c>
      <c r="K32">
        <f>IF(INDEX(tvar_komplet,Objednávka!$BC$16,6)="x",A269,"")</f>
        <v>0</v>
      </c>
      <c r="M32" s="153"/>
      <c r="N32" s="153"/>
      <c r="O32" s="153"/>
      <c r="V32" s="265"/>
      <c r="W32" s="266"/>
    </row>
    <row r="33" spans="1:23" ht="25.5">
      <c r="A33" s="280" t="str">
        <f t="shared" si="4"/>
        <v>gr2028 Wenge</v>
      </c>
      <c r="B33" s="47">
        <v>1</v>
      </c>
      <c r="C33" s="48"/>
      <c r="D33" s="282" t="s">
        <v>828</v>
      </c>
      <c r="E33" s="281" t="s">
        <v>690</v>
      </c>
      <c r="F33" s="281"/>
      <c r="G33" s="47"/>
      <c r="I33" t="str">
        <f t="shared" si="0"/>
        <v>gr2028 Wenge</v>
      </c>
      <c r="K33" t="str">
        <f>IF(INDEX(tvar_komplet,Objednávka!$BC$16,6)="x",A270,"")</f>
        <v>                      Zrcadla</v>
      </c>
      <c r="M33" s="153"/>
      <c r="N33" s="153"/>
      <c r="O33" s="153"/>
      <c r="V33" s="265"/>
      <c r="W33" s="266"/>
    </row>
    <row r="34" spans="1:23" ht="25.5">
      <c r="A34" s="280" t="str">
        <f t="shared" si="4"/>
        <v>gr2047 Arodub</v>
      </c>
      <c r="B34" s="47">
        <v>1</v>
      </c>
      <c r="C34" s="48"/>
      <c r="D34" s="282" t="s">
        <v>829</v>
      </c>
      <c r="E34" s="281" t="s">
        <v>830</v>
      </c>
      <c r="F34" s="281"/>
      <c r="G34" s="47"/>
      <c r="I34" t="str">
        <f t="shared" si="0"/>
        <v>gr2047 Arodub</v>
      </c>
      <c r="K34" t="str">
        <f>IF(INDEX(tvar_komplet,Objednávka!$BC$16,6)="x",A271,"")</f>
        <v>Zrcadlo</v>
      </c>
      <c r="M34" s="153"/>
      <c r="N34" s="153"/>
      <c r="O34" s="153"/>
      <c r="V34" s="265"/>
      <c r="W34" s="266"/>
    </row>
    <row r="35" spans="1:23" ht="25.5">
      <c r="A35" s="280" t="str">
        <f t="shared" si="4"/>
        <v>gr2048 Žlutá</v>
      </c>
      <c r="B35" s="47">
        <v>1</v>
      </c>
      <c r="C35" s="48"/>
      <c r="D35" s="282" t="s">
        <v>831</v>
      </c>
      <c r="E35" s="281" t="s">
        <v>455</v>
      </c>
      <c r="F35" s="281"/>
      <c r="G35" s="47"/>
      <c r="I35" t="str">
        <f t="shared" si="0"/>
        <v>gr2048 Žlutá</v>
      </c>
      <c r="K35" t="str">
        <f>IF(INDEX(tvar_komplet,Objednávka!$BC$16,6)="x",A272,"")</f>
        <v>Zrcadlo SAFE s bezpečnostní fólií</v>
      </c>
      <c r="M35" s="153"/>
      <c r="N35" s="153"/>
      <c r="O35" s="153"/>
      <c r="V35" s="265"/>
      <c r="W35" s="266"/>
    </row>
    <row r="36" spans="1:23" ht="25.5">
      <c r="A36" s="280" t="str">
        <f t="shared" si="4"/>
        <v>gr2004 Fládr bílý</v>
      </c>
      <c r="B36" s="47">
        <v>1</v>
      </c>
      <c r="C36" s="48"/>
      <c r="D36" s="282" t="s">
        <v>832</v>
      </c>
      <c r="E36" s="281" t="s">
        <v>833</v>
      </c>
      <c r="F36" s="281"/>
      <c r="G36" s="47"/>
      <c r="I36" t="str">
        <f t="shared" si="0"/>
        <v>gr2004 Fládr bílý</v>
      </c>
      <c r="K36" t="str">
        <f>IF(INDEX(tvar_komplet,Objednávka!$BC$16,6)="x",A273,"")</f>
        <v>Zrcadlo bronz</v>
      </c>
      <c r="M36" s="153"/>
      <c r="N36" s="153"/>
      <c r="O36" s="153"/>
      <c r="V36" s="265"/>
      <c r="W36" s="266"/>
    </row>
    <row r="37" spans="1:23" ht="25.5">
      <c r="A37" s="280" t="str">
        <f t="shared" si="4"/>
        <v>gr2043 Bambus</v>
      </c>
      <c r="B37" s="47">
        <v>1</v>
      </c>
      <c r="C37" s="48"/>
      <c r="D37" s="282" t="s">
        <v>834</v>
      </c>
      <c r="E37" s="281" t="s">
        <v>835</v>
      </c>
      <c r="F37" s="281"/>
      <c r="G37" s="47"/>
      <c r="I37" t="str">
        <f t="shared" si="0"/>
        <v>gr2043 Bambus</v>
      </c>
      <c r="K37" t="str">
        <f>IF(INDEX(tvar_komplet,Objednávka!$BC$16,6)="x",A274,"")</f>
        <v>Zrcadlo šedé</v>
      </c>
      <c r="M37" s="153"/>
      <c r="N37" s="153"/>
      <c r="O37" s="153"/>
      <c r="V37" s="265"/>
      <c r="W37" s="266"/>
    </row>
    <row r="38" spans="1:23" ht="25.5">
      <c r="A38" s="280" t="str">
        <f t="shared" si="4"/>
        <v>gr2038 Bříza saw</v>
      </c>
      <c r="B38" s="47">
        <v>1</v>
      </c>
      <c r="C38" s="48"/>
      <c r="D38" s="282" t="s">
        <v>836</v>
      </c>
      <c r="E38" s="281" t="s">
        <v>837</v>
      </c>
      <c r="F38" s="281"/>
      <c r="G38" s="47"/>
      <c r="I38" t="str">
        <f t="shared" si="0"/>
        <v>gr2038 Bříza saw</v>
      </c>
      <c r="K38" t="str">
        <f>IF(INDEX(tvar_komplet,Objednávka!$BC$16,6)="x",A275,"")</f>
        <v>                      Lacobel</v>
      </c>
      <c r="M38" s="153"/>
      <c r="N38" s="153"/>
      <c r="O38" s="153"/>
      <c r="V38" s="265"/>
      <c r="W38" s="266"/>
    </row>
    <row r="39" spans="1:23" ht="12.75" customHeight="1">
      <c r="A39" s="50"/>
      <c r="B39" s="47"/>
      <c r="C39" s="48"/>
      <c r="E39" s="47"/>
      <c r="F39" s="47"/>
      <c r="G39" s="47"/>
      <c r="I39">
        <f t="shared" si="0"/>
        <v>0</v>
      </c>
      <c r="K39" t="str">
        <f>IF(INDEX(tvar_komplet,Objednávka!$BC$16,6)="x",A276,"")</f>
        <v>Lacobel bílý 9010</v>
      </c>
      <c r="M39" s="153"/>
      <c r="N39" s="153"/>
      <c r="O39" s="153"/>
      <c r="U39" t="str">
        <f t="shared" si="2"/>
        <v> </v>
      </c>
      <c r="V39" s="267"/>
      <c r="W39" s="268"/>
    </row>
    <row r="40" spans="1:21" ht="12.75">
      <c r="A40" s="42" t="s">
        <v>76</v>
      </c>
      <c r="B40" s="47"/>
      <c r="C40" s="48"/>
      <c r="E40" s="47"/>
      <c r="F40" s="47"/>
      <c r="G40" s="47"/>
      <c r="I40" t="str">
        <f t="shared" si="0"/>
        <v>                      výběrové fólie skupina 2</v>
      </c>
      <c r="J40" s="240"/>
      <c r="K40" t="str">
        <f>IF(INDEX(tvar_komplet,Objednávka!$BC$16,6)="x",A277,"")</f>
        <v>Lacobel ciste bílý 9003</v>
      </c>
      <c r="M40" s="153"/>
      <c r="N40" s="153"/>
      <c r="O40" s="153"/>
      <c r="U40" t="str">
        <f t="shared" si="2"/>
        <v> </v>
      </c>
    </row>
    <row r="41" spans="1:21" ht="38.25">
      <c r="A41" s="280" t="str">
        <f aca="true" t="shared" si="5" ref="A41:A74">CONCATENATE(D41," ",E41)</f>
        <v>22DB52 Dub mléčný</v>
      </c>
      <c r="B41" s="47">
        <v>2</v>
      </c>
      <c r="C41" s="47"/>
      <c r="D41" s="41" t="s">
        <v>312</v>
      </c>
      <c r="E41" s="41" t="s">
        <v>436</v>
      </c>
      <c r="G41" s="47"/>
      <c r="I41" t="str">
        <f t="shared" si="0"/>
        <v>22DB52 Dub mléčný</v>
      </c>
      <c r="K41" t="str">
        <f>IF(INDEX(tvar_komplet,Objednávka!$BC$16,6)="x",A278,"")</f>
        <v>Lacobel béžový 1015</v>
      </c>
      <c r="M41" s="153"/>
      <c r="N41" s="153"/>
      <c r="O41" s="153"/>
      <c r="U41" t="str">
        <f t="shared" si="2"/>
        <v> </v>
      </c>
    </row>
    <row r="42" spans="1:21" ht="25.5">
      <c r="A42" s="280" t="str">
        <f t="shared" si="5"/>
        <v>20OL03 Olše</v>
      </c>
      <c r="B42" s="47">
        <v>2</v>
      </c>
      <c r="D42" s="41" t="s">
        <v>291</v>
      </c>
      <c r="E42" s="47" t="s">
        <v>515</v>
      </c>
      <c r="G42" s="47"/>
      <c r="I42" t="str">
        <f t="shared" si="0"/>
        <v>20OL03 Olše</v>
      </c>
      <c r="K42" t="str">
        <f>IF(INDEX(tvar_komplet,Objednávka!$BC$16,6)="x",A279,"")</f>
        <v>Lacobel béžový 1014</v>
      </c>
      <c r="M42" s="153"/>
      <c r="N42" s="153"/>
      <c r="O42" s="153"/>
      <c r="U42" t="s">
        <v>224</v>
      </c>
    </row>
    <row r="43" spans="1:15" ht="25.5">
      <c r="A43" s="280" t="str">
        <f t="shared" si="5"/>
        <v>20WE00 Wenge mat</v>
      </c>
      <c r="B43" s="47">
        <v>2</v>
      </c>
      <c r="C43" s="48"/>
      <c r="D43" s="41" t="s">
        <v>290</v>
      </c>
      <c r="E43" s="47" t="s">
        <v>469</v>
      </c>
      <c r="G43" s="47"/>
      <c r="I43" t="str">
        <f t="shared" si="0"/>
        <v>20WE00 Wenge mat</v>
      </c>
      <c r="K43" t="str">
        <f>IF(INDEX(tvar_komplet,Objednávka!$BC$16,6)="x",A280,"")</f>
        <v>Lacobel béžový 1013</v>
      </c>
      <c r="M43" s="153"/>
      <c r="N43" s="153"/>
      <c r="O43" s="153"/>
    </row>
    <row r="44" spans="1:26" ht="25.5">
      <c r="A44" s="280" t="str">
        <f t="shared" si="5"/>
        <v>21SV Švestka</v>
      </c>
      <c r="B44" s="47">
        <v>2</v>
      </c>
      <c r="C44" s="48"/>
      <c r="D44" s="41" t="s">
        <v>671</v>
      </c>
      <c r="E44" s="47" t="s">
        <v>672</v>
      </c>
      <c r="G44" s="47"/>
      <c r="I44" t="str">
        <f t="shared" si="0"/>
        <v>21SV Švestka</v>
      </c>
      <c r="K44" t="str">
        <f>IF(INDEX(tvar_komplet,Objednávka!$BC$16,6)="x",A281,"")</f>
        <v>Lacobel modrý 1603</v>
      </c>
      <c r="M44" s="153"/>
      <c r="N44" s="152"/>
      <c r="O44" s="152"/>
      <c r="U44" t="s">
        <v>759</v>
      </c>
      <c r="W44" t="s">
        <v>431</v>
      </c>
      <c r="X44" t="s">
        <v>760</v>
      </c>
      <c r="Z44" t="s">
        <v>761</v>
      </c>
    </row>
    <row r="45" spans="1:26" ht="38.25">
      <c r="A45" s="280" t="str">
        <f t="shared" si="5"/>
        <v>3237001 Světlá švestka</v>
      </c>
      <c r="B45" s="47">
        <v>2</v>
      </c>
      <c r="D45" s="41" t="s">
        <v>730</v>
      </c>
      <c r="E45" s="47" t="s">
        <v>673</v>
      </c>
      <c r="G45" s="47"/>
      <c r="I45" t="str">
        <f t="shared" si="0"/>
        <v>3237001 Světlá švestka</v>
      </c>
      <c r="K45" t="str">
        <f>IF(INDEX(tvar_komplet,Objednávka!$BC$16,6)="x",A282,"")</f>
        <v>Lacobel zelený 1164</v>
      </c>
      <c r="M45" s="153"/>
      <c r="N45" s="153"/>
      <c r="O45" s="154"/>
      <c r="U45" t="s">
        <v>762</v>
      </c>
      <c r="X45" t="s">
        <v>763</v>
      </c>
      <c r="Z45" t="s">
        <v>764</v>
      </c>
    </row>
    <row r="46" spans="1:26" ht="25.5">
      <c r="A46" s="280" t="str">
        <f t="shared" si="5"/>
        <v>4242417 Avola šedá</v>
      </c>
      <c r="B46" s="47">
        <v>2</v>
      </c>
      <c r="C46" s="48"/>
      <c r="D46" s="41" t="s">
        <v>733</v>
      </c>
      <c r="E46" s="47" t="s">
        <v>537</v>
      </c>
      <c r="G46" s="47"/>
      <c r="I46" t="str">
        <f t="shared" si="0"/>
        <v>4242417 Avola šedá</v>
      </c>
      <c r="K46" t="str">
        <f>IF(INDEX(tvar_komplet,Objednávka!$BC$16,6)="x",A283,"")</f>
        <v>Lacobel zelený 1604</v>
      </c>
      <c r="M46" s="152"/>
      <c r="N46" s="153"/>
      <c r="O46" s="154"/>
      <c r="U46" t="s">
        <v>765</v>
      </c>
      <c r="X46" t="s">
        <v>763</v>
      </c>
      <c r="Z46" t="s">
        <v>764</v>
      </c>
    </row>
    <row r="47" spans="1:26" ht="38.25">
      <c r="A47" s="280" t="str">
        <f t="shared" si="5"/>
        <v>4242425 Avole champagne</v>
      </c>
      <c r="B47" s="47">
        <v>2</v>
      </c>
      <c r="C47" s="48"/>
      <c r="D47" s="41" t="s">
        <v>732</v>
      </c>
      <c r="E47" s="47" t="s">
        <v>678</v>
      </c>
      <c r="F47" s="194"/>
      <c r="G47" s="47"/>
      <c r="I47" t="str">
        <f t="shared" si="0"/>
        <v>4242425 Avole champagne</v>
      </c>
      <c r="K47" t="str">
        <f>IF(INDEX(tvar_komplet,Objednávka!$BC$16,6)="x",A284,"")</f>
        <v>Lacobel bordeaux 3004</v>
      </c>
      <c r="M47" s="153"/>
      <c r="N47" s="153"/>
      <c r="O47" s="154"/>
      <c r="U47" t="s">
        <v>766</v>
      </c>
      <c r="X47" t="s">
        <v>763</v>
      </c>
      <c r="Z47" t="s">
        <v>764</v>
      </c>
    </row>
    <row r="48" spans="1:26" ht="38.25">
      <c r="A48" s="280" t="str">
        <f t="shared" si="5"/>
        <v>dv01R9 Dub mersey</v>
      </c>
      <c r="B48" s="47">
        <v>2</v>
      </c>
      <c r="C48" s="48"/>
      <c r="D48" s="41" t="s">
        <v>296</v>
      </c>
      <c r="E48" s="47" t="s">
        <v>486</v>
      </c>
      <c r="F48" s="200"/>
      <c r="G48" s="47"/>
      <c r="I48" t="str">
        <f t="shared" si="0"/>
        <v>dv01R9 Dub mersey</v>
      </c>
      <c r="K48" t="str">
        <f>IF(INDEX(tvar_komplet,Objednávka!$BC$16,6)="x",A285,"")</f>
        <v>Lacobel cervený 1586</v>
      </c>
      <c r="M48" s="153"/>
      <c r="N48" s="153"/>
      <c r="O48" s="154"/>
      <c r="U48" t="s">
        <v>767</v>
      </c>
      <c r="W48" t="s">
        <v>768</v>
      </c>
      <c r="X48" t="s">
        <v>769</v>
      </c>
      <c r="Z48" t="s">
        <v>770</v>
      </c>
    </row>
    <row r="49" spans="1:26" ht="38.25">
      <c r="A49" s="280" t="str">
        <f t="shared" si="5"/>
        <v>dv02R9 Dub tmavý jantarový</v>
      </c>
      <c r="B49" s="47">
        <v>2</v>
      </c>
      <c r="C49" s="48"/>
      <c r="D49" s="41" t="s">
        <v>302</v>
      </c>
      <c r="E49" s="47" t="s">
        <v>475</v>
      </c>
      <c r="F49" s="47"/>
      <c r="G49" s="47"/>
      <c r="I49" t="str">
        <f t="shared" si="0"/>
        <v>dv02R9 Dub tmavý jantarový</v>
      </c>
      <c r="K49" t="str">
        <f>IF(INDEX(tvar_komplet,Objednávka!$BC$16,6)="x",A286,"")</f>
        <v>Lacobel oranžový 2001</v>
      </c>
      <c r="M49" s="153"/>
      <c r="N49" s="153"/>
      <c r="O49" s="154"/>
      <c r="U49" t="s">
        <v>771</v>
      </c>
      <c r="W49" t="s">
        <v>772</v>
      </c>
      <c r="X49" t="s">
        <v>763</v>
      </c>
      <c r="Z49" t="s">
        <v>773</v>
      </c>
    </row>
    <row r="50" spans="1:26" ht="38.25">
      <c r="A50" s="280" t="str">
        <f t="shared" si="5"/>
        <v>dv03R9 Dub světlý jantarový</v>
      </c>
      <c r="B50" s="47">
        <v>2</v>
      </c>
      <c r="C50" s="48"/>
      <c r="D50" s="41" t="s">
        <v>301</v>
      </c>
      <c r="E50" s="47" t="s">
        <v>483</v>
      </c>
      <c r="F50" s="47"/>
      <c r="G50" s="47"/>
      <c r="I50" t="str">
        <f t="shared" si="0"/>
        <v>dv03R9 Dub světlý jantarový</v>
      </c>
      <c r="K50" t="str">
        <f>IF(INDEX(tvar_komplet,Objednávka!$BC$16,6)="x",A287,"")</f>
        <v>Lacobel hnedý 1236</v>
      </c>
      <c r="M50" s="153"/>
      <c r="N50" s="153"/>
      <c r="O50" s="154"/>
      <c r="U50" t="s">
        <v>774</v>
      </c>
      <c r="W50" t="s">
        <v>775</v>
      </c>
      <c r="X50" t="s">
        <v>763</v>
      </c>
      <c r="Z50" t="s">
        <v>776</v>
      </c>
    </row>
    <row r="51" spans="1:26" ht="38.25">
      <c r="A51" s="280" t="str">
        <f t="shared" si="5"/>
        <v>dv05R5 Borovice bílá</v>
      </c>
      <c r="B51" s="47">
        <v>2</v>
      </c>
      <c r="C51" s="48"/>
      <c r="D51" s="41" t="s">
        <v>502</v>
      </c>
      <c r="E51" s="47" t="s">
        <v>677</v>
      </c>
      <c r="F51" s="47"/>
      <c r="G51" s="47"/>
      <c r="I51" t="str">
        <f t="shared" si="0"/>
        <v>dv05R5 Borovice bílá</v>
      </c>
      <c r="K51" t="str">
        <f>IF(INDEX(tvar_komplet,Objednávka!$BC$16,6)="x",A288,"")</f>
        <v>Lacobel 4006 fuchsie</v>
      </c>
      <c r="M51" s="153"/>
      <c r="N51" s="153"/>
      <c r="O51" s="154"/>
      <c r="U51" t="s">
        <v>777</v>
      </c>
      <c r="W51" t="s">
        <v>778</v>
      </c>
      <c r="X51" t="s">
        <v>763</v>
      </c>
      <c r="Z51" t="s">
        <v>779</v>
      </c>
    </row>
    <row r="52" spans="1:26" ht="38.25">
      <c r="A52" s="280" t="str">
        <f t="shared" si="5"/>
        <v>dv1024 Divoká hruška</v>
      </c>
      <c r="B52" s="47">
        <v>2</v>
      </c>
      <c r="C52" s="241"/>
      <c r="D52" s="41" t="s">
        <v>313</v>
      </c>
      <c r="E52" s="47" t="s">
        <v>514</v>
      </c>
      <c r="F52" s="47"/>
      <c r="G52" s="47"/>
      <c r="I52" t="str">
        <f t="shared" si="0"/>
        <v>dv1024 Divoká hruška</v>
      </c>
      <c r="K52" t="str">
        <f>IF(INDEX(tvar_komplet,Objednávka!$BC$16,6)="x",A289,"")</f>
        <v>Lacobel modrý Luminous 5002</v>
      </c>
      <c r="M52" s="153"/>
      <c r="N52" s="153"/>
      <c r="O52" s="154"/>
      <c r="P52" s="152"/>
      <c r="Q52" s="152"/>
      <c r="R52" s="152"/>
      <c r="U52" t="s">
        <v>780</v>
      </c>
      <c r="W52" t="s">
        <v>781</v>
      </c>
      <c r="X52" t="s">
        <v>763</v>
      </c>
      <c r="Z52" t="s">
        <v>782</v>
      </c>
    </row>
    <row r="53" spans="1:26" ht="25.5">
      <c r="A53" s="280" t="str">
        <f t="shared" si="5"/>
        <v>dv1901 Dub Windy</v>
      </c>
      <c r="B53" s="47">
        <v>2</v>
      </c>
      <c r="C53" s="48"/>
      <c r="D53" s="41" t="s">
        <v>665</v>
      </c>
      <c r="E53" s="41" t="s">
        <v>727</v>
      </c>
      <c r="F53" s="47"/>
      <c r="G53" s="47"/>
      <c r="I53" t="str">
        <f t="shared" si="0"/>
        <v>dv1901 Dub Windy</v>
      </c>
      <c r="K53" t="str">
        <f>IF(INDEX(tvar_komplet,Objednávka!$BC$16,6)="x",A290,"")</f>
        <v>Lacobel cerný 9005</v>
      </c>
      <c r="M53" s="153"/>
      <c r="N53" s="153"/>
      <c r="O53" s="154"/>
      <c r="P53" s="152"/>
      <c r="Q53" s="152"/>
      <c r="R53" s="152"/>
      <c r="U53" t="s">
        <v>783</v>
      </c>
      <c r="W53" t="s">
        <v>784</v>
      </c>
      <c r="X53" t="s">
        <v>763</v>
      </c>
      <c r="Z53" t="s">
        <v>785</v>
      </c>
    </row>
    <row r="54" spans="1:26" ht="25.5">
      <c r="A54" s="280" t="str">
        <f t="shared" si="5"/>
        <v>dv1903 Buk bavaria</v>
      </c>
      <c r="B54" s="47">
        <v>2</v>
      </c>
      <c r="C54" s="48"/>
      <c r="D54" s="41" t="s">
        <v>687</v>
      </c>
      <c r="E54" s="47" t="s">
        <v>688</v>
      </c>
      <c r="F54" s="47"/>
      <c r="G54" s="47"/>
      <c r="I54" t="str">
        <f t="shared" si="0"/>
        <v>dv1903 Buk bavaria</v>
      </c>
      <c r="K54" t="str">
        <f>IF(INDEX(tvar_komplet,Objednávka!$BC$16,6)="x",A291,"")</f>
        <v>                      Matelac</v>
      </c>
      <c r="M54" s="153"/>
      <c r="N54" s="153"/>
      <c r="O54" s="154"/>
      <c r="P54" s="152"/>
      <c r="Q54" s="152"/>
      <c r="R54" s="152"/>
      <c r="U54" t="s">
        <v>786</v>
      </c>
      <c r="W54" t="s">
        <v>787</v>
      </c>
      <c r="X54" t="s">
        <v>763</v>
      </c>
      <c r="Z54" t="s">
        <v>788</v>
      </c>
    </row>
    <row r="55" spans="1:21" ht="25.5">
      <c r="A55" s="280" t="str">
        <f t="shared" si="5"/>
        <v>dv1907 Mahagon</v>
      </c>
      <c r="B55" s="47">
        <v>2</v>
      </c>
      <c r="C55" s="48"/>
      <c r="D55" s="41" t="s">
        <v>681</v>
      </c>
      <c r="E55" s="196" t="s">
        <v>682</v>
      </c>
      <c r="F55" s="47"/>
      <c r="G55" s="47"/>
      <c r="I55" t="str">
        <f t="shared" si="0"/>
        <v>dv1907 Mahagon</v>
      </c>
      <c r="K55" t="str">
        <f>IF(INDEX(tvar_komplet,Objednávka!$BC$16,6)="x",A292,"")</f>
        <v>Matelac RAL 9003 sněhově bílá</v>
      </c>
      <c r="M55" s="153"/>
      <c r="N55" s="153"/>
      <c r="O55" s="154"/>
      <c r="P55" s="152"/>
      <c r="Q55" s="152"/>
      <c r="R55" s="152"/>
      <c r="U55" t="str">
        <f t="shared" si="2"/>
        <v> </v>
      </c>
    </row>
    <row r="56" spans="1:21" ht="38.25">
      <c r="A56" s="280" t="str">
        <f t="shared" si="5"/>
        <v>dv1912 Zlatá švestka</v>
      </c>
      <c r="B56" s="47">
        <v>2</v>
      </c>
      <c r="D56" s="41" t="s">
        <v>674</v>
      </c>
      <c r="E56" s="47" t="s">
        <v>731</v>
      </c>
      <c r="F56" s="47"/>
      <c r="G56" s="47"/>
      <c r="I56" t="str">
        <f t="shared" si="0"/>
        <v>dv1912 Zlatá švestka</v>
      </c>
      <c r="K56" t="str">
        <f>IF(INDEX(tvar_komplet,Objednávka!$BC$16,6)="x",A293,"")</f>
        <v>Matelac RAL 2001 oranžová</v>
      </c>
      <c r="M56" s="153"/>
      <c r="N56" s="153"/>
      <c r="O56" s="154"/>
      <c r="P56" s="152"/>
      <c r="Q56" s="152"/>
      <c r="R56" s="152"/>
      <c r="U56" t="str">
        <f t="shared" si="2"/>
        <v> </v>
      </c>
    </row>
    <row r="57" spans="1:21" ht="25.5">
      <c r="A57" s="280" t="str">
        <f t="shared" si="5"/>
        <v>dv1917 Akát světlý</v>
      </c>
      <c r="B57" s="47">
        <v>2</v>
      </c>
      <c r="C57" s="48"/>
      <c r="D57" s="41" t="s">
        <v>675</v>
      </c>
      <c r="E57" s="47" t="s">
        <v>676</v>
      </c>
      <c r="F57" s="47"/>
      <c r="G57" s="47"/>
      <c r="I57" t="str">
        <f t="shared" si="0"/>
        <v>dv1917 Akát světlý</v>
      </c>
      <c r="K57" t="str">
        <f>IF(INDEX(tvar_komplet,Objednávka!$BC$16,6)="x",A294,"")</f>
        <v>Matelac RAL 9005 černá</v>
      </c>
      <c r="M57" s="153"/>
      <c r="N57" s="153"/>
      <c r="O57" s="154"/>
      <c r="P57" s="152"/>
      <c r="Q57" s="152"/>
      <c r="R57" s="152"/>
      <c r="U57" t="str">
        <f t="shared" si="2"/>
        <v> </v>
      </c>
    </row>
    <row r="58" spans="1:21" ht="25.5">
      <c r="A58" s="280" t="str">
        <f t="shared" si="5"/>
        <v>dv1919  Višeň</v>
      </c>
      <c r="B58" s="47">
        <v>2</v>
      </c>
      <c r="C58" s="48"/>
      <c r="D58" s="41" t="s">
        <v>669</v>
      </c>
      <c r="E58" s="47" t="s">
        <v>670</v>
      </c>
      <c r="F58" s="47"/>
      <c r="G58" s="47"/>
      <c r="I58" t="str">
        <f t="shared" si="0"/>
        <v>dv1919  Višeň</v>
      </c>
      <c r="K58" t="str">
        <f>IF(INDEX(tvar_komplet,Objednávka!$BC$16,6)="x",A295,"")</f>
        <v>Matelac čirý lakovaný RAL/NCS</v>
      </c>
      <c r="M58" s="153"/>
      <c r="N58" s="153"/>
      <c r="O58" s="154"/>
      <c r="P58" s="152"/>
      <c r="Q58" s="152"/>
      <c r="R58" s="152"/>
      <c r="U58" t="str">
        <f t="shared" si="2"/>
        <v> </v>
      </c>
    </row>
    <row r="59" spans="1:21" ht="25.5">
      <c r="A59" s="280" t="str">
        <f t="shared" si="5"/>
        <v>dv1920 Dub okrový</v>
      </c>
      <c r="B59" s="47">
        <v>2</v>
      </c>
      <c r="C59" s="48"/>
      <c r="D59" s="41" t="s">
        <v>666</v>
      </c>
      <c r="E59" s="47" t="s">
        <v>728</v>
      </c>
      <c r="F59" s="47"/>
      <c r="G59" s="47"/>
      <c r="I59" t="str">
        <f t="shared" si="0"/>
        <v>dv1920 Dub okrový</v>
      </c>
      <c r="K59" t="str">
        <f>IF(INDEX(tvar_komplet,Objednávka!$BC$16,6)="x",A296,"")</f>
        <v>Matelac extra čirý lakovaný RAL/NCS</v>
      </c>
      <c r="M59" s="153"/>
      <c r="N59" s="153"/>
      <c r="O59" s="154"/>
      <c r="P59" s="152"/>
      <c r="Q59" s="152"/>
      <c r="R59" s="152"/>
      <c r="U59" t="str">
        <f t="shared" si="2"/>
        <v> </v>
      </c>
    </row>
    <row r="60" spans="1:21" ht="51">
      <c r="A60" s="280" t="str">
        <f t="shared" si="5"/>
        <v>dv1922 Avola tmavě hnědá</v>
      </c>
      <c r="B60" s="47">
        <v>2</v>
      </c>
      <c r="C60" s="48"/>
      <c r="D60" s="41" t="s">
        <v>679</v>
      </c>
      <c r="E60" s="47" t="s">
        <v>680</v>
      </c>
      <c r="F60" s="47"/>
      <c r="G60" s="47"/>
      <c r="I60" t="str">
        <f t="shared" si="0"/>
        <v>dv1922 Avola tmavě hnědá</v>
      </c>
      <c r="K60" t="str">
        <f>IF(INDEX(tvar_komplet,Objednávka!$BC$16,6)="x",A297,"")</f>
        <v>                      Designová skla na objednávku</v>
      </c>
      <c r="M60" s="153"/>
      <c r="N60" s="153"/>
      <c r="O60" s="154"/>
      <c r="P60" s="152"/>
      <c r="Q60" s="152"/>
      <c r="R60" s="152"/>
      <c r="U60" t="str">
        <f t="shared" si="2"/>
        <v> </v>
      </c>
    </row>
    <row r="61" spans="1:21" ht="25.5">
      <c r="A61" s="280" t="str">
        <f t="shared" si="5"/>
        <v>dv1924 Driftwood</v>
      </c>
      <c r="B61" s="47">
        <v>2</v>
      </c>
      <c r="C61" s="48"/>
      <c r="D61" s="41" t="s">
        <v>667</v>
      </c>
      <c r="E61" s="47" t="s">
        <v>729</v>
      </c>
      <c r="F61" s="47"/>
      <c r="G61" s="47"/>
      <c r="I61" t="str">
        <f t="shared" si="0"/>
        <v>dv1924 Driftwood</v>
      </c>
      <c r="K61" t="str">
        <f>IF(INDEX(tvar_komplet,Objednávka!$BC$16,6)="x",A298,"")</f>
        <v>čiré sklo lakováné RAL či NCS</v>
      </c>
      <c r="M61" s="153"/>
      <c r="N61" s="153"/>
      <c r="O61" s="154"/>
      <c r="P61" s="152"/>
      <c r="Q61" s="152"/>
      <c r="R61" s="152"/>
      <c r="U61" t="str">
        <f t="shared" si="2"/>
        <v> </v>
      </c>
    </row>
    <row r="62" spans="1:21" ht="38.25">
      <c r="A62" s="280" t="str">
        <f t="shared" si="5"/>
        <v>dv1926 Beton světlý</v>
      </c>
      <c r="B62" s="47">
        <v>2</v>
      </c>
      <c r="C62" s="41"/>
      <c r="D62" s="41" t="s">
        <v>683</v>
      </c>
      <c r="E62" s="47" t="s">
        <v>684</v>
      </c>
      <c r="F62" s="47"/>
      <c r="G62" s="47"/>
      <c r="I62" t="str">
        <f t="shared" si="0"/>
        <v>dv1926 Beton světlý</v>
      </c>
      <c r="K62" t="str">
        <f>IF(INDEX(tvar_komplet,Objednávka!$BC$16,6)="x",A299,"")</f>
        <v>extračiré lakováné RAL či NCS</v>
      </c>
      <c r="M62" s="153"/>
      <c r="N62" s="153"/>
      <c r="O62" s="154"/>
      <c r="P62" s="152"/>
      <c r="Q62" s="152"/>
      <c r="R62" s="152"/>
      <c r="U62" t="str">
        <f t="shared" si="2"/>
        <v> </v>
      </c>
    </row>
    <row r="63" spans="1:21" ht="38.25">
      <c r="A63" s="280" t="str">
        <f t="shared" si="5"/>
        <v>dv1927 Beton tmavý</v>
      </c>
      <c r="B63" s="47">
        <v>2</v>
      </c>
      <c r="C63" s="41"/>
      <c r="D63" s="41" t="s">
        <v>685</v>
      </c>
      <c r="E63" s="47" t="s">
        <v>686</v>
      </c>
      <c r="F63" s="47"/>
      <c r="G63" s="47"/>
      <c r="I63" t="str">
        <f t="shared" si="0"/>
        <v>dv1927 Beton tmavý</v>
      </c>
      <c r="K63" t="str">
        <f>IF(INDEX(tvar_komplet,Objednávka!$BC$16,6)="x",A300,"")</f>
        <v>extračiré sklo s fototiskem</v>
      </c>
      <c r="M63" s="153"/>
      <c r="N63" s="153"/>
      <c r="O63" s="154"/>
      <c r="P63" s="152"/>
      <c r="Q63" s="152"/>
      <c r="R63" s="152"/>
      <c r="U63" t="str">
        <f t="shared" si="2"/>
        <v> </v>
      </c>
    </row>
    <row r="64" spans="1:21" ht="25.5">
      <c r="A64" s="280" t="str">
        <f t="shared" si="5"/>
        <v>dv2109 Wenge</v>
      </c>
      <c r="B64" s="47">
        <v>2</v>
      </c>
      <c r="C64" s="48"/>
      <c r="D64" s="41" t="s">
        <v>689</v>
      </c>
      <c r="E64" s="47" t="s">
        <v>690</v>
      </c>
      <c r="F64" s="47"/>
      <c r="G64" s="47"/>
      <c r="I64" t="str">
        <f t="shared" si="0"/>
        <v>dv2109 Wenge</v>
      </c>
      <c r="K64">
        <f>IF(INDEX(tvar_komplet,Objednávka!$BC$16,6)="x",A301,"")</f>
        <v>0</v>
      </c>
      <c r="M64" s="153"/>
      <c r="N64" s="153"/>
      <c r="O64" s="154"/>
      <c r="P64" s="152"/>
      <c r="Q64" s="152"/>
      <c r="R64" s="152"/>
      <c r="U64" t="str">
        <f t="shared" si="2"/>
        <v> </v>
      </c>
    </row>
    <row r="65" spans="1:21" ht="38.25">
      <c r="A65" s="280" t="str">
        <f t="shared" si="5"/>
        <v>dv2143 Wenge hnědé</v>
      </c>
      <c r="B65" s="47">
        <v>2</v>
      </c>
      <c r="C65" s="48"/>
      <c r="D65" s="41" t="s">
        <v>491</v>
      </c>
      <c r="E65" s="47" t="s">
        <v>492</v>
      </c>
      <c r="F65" s="47"/>
      <c r="G65" s="47"/>
      <c r="I65" t="str">
        <f t="shared" si="0"/>
        <v>dv2143 Wenge hnědé</v>
      </c>
      <c r="K65">
        <f>IF(INDEX(tvar_komplet,Objednávka!$BC$16,6)="x",A302,"")</f>
        <v>0</v>
      </c>
      <c r="M65" s="153"/>
      <c r="N65" s="153"/>
      <c r="O65" s="154"/>
      <c r="P65" s="152"/>
      <c r="Q65" s="152"/>
      <c r="R65" s="152"/>
      <c r="U65" t="str">
        <f t="shared" si="2"/>
        <v> </v>
      </c>
    </row>
    <row r="66" spans="1:21" ht="25.5">
      <c r="A66" s="280" t="str">
        <f t="shared" si="5"/>
        <v>dv2401 Akát</v>
      </c>
      <c r="B66" s="47">
        <v>2</v>
      </c>
      <c r="C66" s="48"/>
      <c r="D66" s="41" t="s">
        <v>286</v>
      </c>
      <c r="E66" s="47" t="s">
        <v>472</v>
      </c>
      <c r="F66" s="47"/>
      <c r="G66" s="47"/>
      <c r="I66" t="str">
        <f t="shared" si="0"/>
        <v>dv2401 Akát</v>
      </c>
      <c r="M66" s="153"/>
      <c r="N66" s="153"/>
      <c r="O66" s="154"/>
      <c r="P66" s="152"/>
      <c r="Q66" s="152"/>
      <c r="R66" s="152"/>
      <c r="U66" t="str">
        <f t="shared" si="2"/>
        <v> </v>
      </c>
    </row>
    <row r="67" spans="1:21" ht="38.25">
      <c r="A67" s="280" t="str">
        <f t="shared" si="5"/>
        <v>dv2419 Dub kovově šedý</v>
      </c>
      <c r="B67" s="47">
        <v>2</v>
      </c>
      <c r="C67" s="48"/>
      <c r="D67" s="41" t="s">
        <v>480</v>
      </c>
      <c r="E67" s="47" t="s">
        <v>481</v>
      </c>
      <c r="F67" s="47"/>
      <c r="G67" s="47"/>
      <c r="I67" t="str">
        <f t="shared" si="0"/>
        <v>dv2419 Dub kovově šedý</v>
      </c>
      <c r="M67" s="153"/>
      <c r="N67" s="153"/>
      <c r="O67" s="154"/>
      <c r="P67" s="152"/>
      <c r="Q67" s="152"/>
      <c r="R67" s="152"/>
      <c r="U67" t="str">
        <f t="shared" si="2"/>
        <v> </v>
      </c>
    </row>
    <row r="68" spans="1:21" ht="25.5">
      <c r="A68" s="280" t="str">
        <f t="shared" si="5"/>
        <v>dv2448 Dub světlý</v>
      </c>
      <c r="B68" s="47">
        <v>2</v>
      </c>
      <c r="C68" s="48"/>
      <c r="D68" s="41" t="s">
        <v>288</v>
      </c>
      <c r="E68" s="47" t="s">
        <v>473</v>
      </c>
      <c r="F68" s="47"/>
      <c r="G68" s="47"/>
      <c r="I68" t="str">
        <f t="shared" si="0"/>
        <v>dv2448 Dub světlý</v>
      </c>
      <c r="M68" s="153"/>
      <c r="N68" s="153"/>
      <c r="O68" s="154"/>
      <c r="P68" s="152"/>
      <c r="Q68" s="152"/>
      <c r="R68" s="152"/>
      <c r="U68" t="str">
        <f t="shared" si="2"/>
        <v> </v>
      </c>
    </row>
    <row r="69" spans="1:21" ht="25.5">
      <c r="A69" s="280" t="str">
        <f t="shared" si="5"/>
        <v>dv2455 Dub lanýžový</v>
      </c>
      <c r="B69" s="47">
        <v>2</v>
      </c>
      <c r="C69" s="48"/>
      <c r="D69" s="41" t="s">
        <v>289</v>
      </c>
      <c r="E69" s="47" t="s">
        <v>479</v>
      </c>
      <c r="F69" s="47"/>
      <c r="G69" s="47"/>
      <c r="I69" t="str">
        <f t="shared" si="0"/>
        <v>dv2455 Dub lanýžový</v>
      </c>
      <c r="M69" s="153"/>
      <c r="N69" s="153"/>
      <c r="O69" s="154"/>
      <c r="P69" s="152"/>
      <c r="Q69" s="152"/>
      <c r="R69" s="152"/>
      <c r="U69" t="str">
        <f t="shared" si="2"/>
        <v> </v>
      </c>
    </row>
    <row r="70" spans="1:21" ht="38.25">
      <c r="A70" s="280" t="str">
        <f t="shared" si="5"/>
        <v>dv3124 Třešeň Světlá</v>
      </c>
      <c r="B70" s="47">
        <v>2</v>
      </c>
      <c r="C70" s="48"/>
      <c r="D70" s="41" t="s">
        <v>287</v>
      </c>
      <c r="E70" s="47" t="s">
        <v>668</v>
      </c>
      <c r="F70" s="47"/>
      <c r="G70" s="47"/>
      <c r="I70" t="str">
        <f t="shared" si="0"/>
        <v>dv3124 Třešeň Světlá</v>
      </c>
      <c r="M70" s="153"/>
      <c r="N70" s="153"/>
      <c r="O70" s="154"/>
      <c r="P70" s="152"/>
      <c r="Q70" s="152"/>
      <c r="R70" s="152"/>
      <c r="U70" t="str">
        <f t="shared" si="2"/>
        <v> </v>
      </c>
    </row>
    <row r="71" spans="1:21" ht="25.5">
      <c r="A71" s="280" t="str">
        <f t="shared" si="5"/>
        <v>dv4143 Dub hnědý</v>
      </c>
      <c r="B71" s="47">
        <v>2</v>
      </c>
      <c r="D71" s="41" t="s">
        <v>489</v>
      </c>
      <c r="E71" s="47" t="s">
        <v>490</v>
      </c>
      <c r="F71" s="47"/>
      <c r="G71" s="47"/>
      <c r="I71" t="str">
        <f t="shared" si="0"/>
        <v>dv4143 Dub hnědý</v>
      </c>
      <c r="M71" s="153"/>
      <c r="N71" s="153"/>
      <c r="O71" s="154"/>
      <c r="P71" s="152"/>
      <c r="Q71" s="152"/>
      <c r="R71" s="152"/>
      <c r="U71" t="str">
        <f t="shared" si="2"/>
        <v> </v>
      </c>
    </row>
    <row r="72" spans="1:21" ht="25.5">
      <c r="A72" s="280" t="str">
        <f t="shared" si="5"/>
        <v>dv5842 Dub alabastr        </v>
      </c>
      <c r="B72" s="47">
        <v>2</v>
      </c>
      <c r="C72" s="48"/>
      <c r="D72" s="41" t="s">
        <v>512</v>
      </c>
      <c r="E72" s="47" t="s">
        <v>664</v>
      </c>
      <c r="F72" s="47"/>
      <c r="G72" s="47"/>
      <c r="I72" t="str">
        <f t="shared" si="0"/>
        <v>dv5842 Dub alabastr        </v>
      </c>
      <c r="M72" s="153"/>
      <c r="N72" s="153"/>
      <c r="O72" s="154"/>
      <c r="P72" s="152"/>
      <c r="Q72" s="152"/>
      <c r="R72" s="152"/>
      <c r="U72" t="str">
        <f t="shared" si="2"/>
        <v> </v>
      </c>
    </row>
    <row r="73" spans="1:21" ht="25.5">
      <c r="A73" s="280" t="str">
        <f t="shared" si="5"/>
        <v>dv6T3M Dub mirain</v>
      </c>
      <c r="B73" s="47">
        <v>2</v>
      </c>
      <c r="C73" s="48"/>
      <c r="D73" s="41" t="s">
        <v>300</v>
      </c>
      <c r="E73" s="47" t="s">
        <v>504</v>
      </c>
      <c r="F73" s="47"/>
      <c r="G73" s="47"/>
      <c r="I73" t="str">
        <f t="shared" si="0"/>
        <v>dv6T3M Dub mirain</v>
      </c>
      <c r="M73" s="153"/>
      <c r="N73" s="153"/>
      <c r="O73" s="154"/>
      <c r="P73" s="152"/>
      <c r="Q73" s="152"/>
      <c r="R73" s="152"/>
      <c r="U73" t="str">
        <f t="shared" si="2"/>
        <v> </v>
      </c>
    </row>
    <row r="74" spans="1:21" ht="38.25">
      <c r="A74" s="280" t="str">
        <f t="shared" si="5"/>
        <v>dv7124 Ořech tmavý</v>
      </c>
      <c r="B74" s="47">
        <v>2</v>
      </c>
      <c r="C74" s="48"/>
      <c r="D74" s="41" t="s">
        <v>310</v>
      </c>
      <c r="E74" s="47" t="s">
        <v>497</v>
      </c>
      <c r="F74" s="47"/>
      <c r="G74" s="47"/>
      <c r="I74" t="str">
        <f t="shared" si="0"/>
        <v>dv7124 Ořech tmavý</v>
      </c>
      <c r="M74" s="153"/>
      <c r="N74" s="153"/>
      <c r="O74" s="154"/>
      <c r="P74" s="152"/>
      <c r="Q74" s="152"/>
      <c r="R74" s="152"/>
      <c r="U74" t="str">
        <f t="shared" si="2"/>
        <v> </v>
      </c>
    </row>
    <row r="75" spans="1:21" ht="38.25">
      <c r="A75" s="280" t="str">
        <f aca="true" t="shared" si="6" ref="A75:A105">CONCATENATE(D75," ",E75)</f>
        <v>gr2029 Meranti tmavé</v>
      </c>
      <c r="B75" s="47">
        <v>2</v>
      </c>
      <c r="C75" s="48"/>
      <c r="D75" s="41" t="s">
        <v>838</v>
      </c>
      <c r="E75" s="47" t="s">
        <v>839</v>
      </c>
      <c r="F75" s="47"/>
      <c r="G75" s="47"/>
      <c r="I75" t="str">
        <f t="shared" si="0"/>
        <v>gr2029 Meranti tmavé</v>
      </c>
      <c r="M75" s="153"/>
      <c r="N75" s="153"/>
      <c r="O75" s="154"/>
      <c r="P75" s="152"/>
      <c r="Q75" s="152"/>
      <c r="R75" s="152"/>
      <c r="U75" t="str">
        <f t="shared" si="2"/>
        <v> </v>
      </c>
    </row>
    <row r="76" spans="1:21" ht="38.25">
      <c r="A76" s="280" t="str">
        <f t="shared" si="6"/>
        <v>gr2037 Višeň metal</v>
      </c>
      <c r="B76" s="47">
        <v>2</v>
      </c>
      <c r="C76" s="48"/>
      <c r="D76" s="41" t="s">
        <v>840</v>
      </c>
      <c r="E76" s="47" t="s">
        <v>841</v>
      </c>
      <c r="F76" s="47"/>
      <c r="G76" s="47"/>
      <c r="I76" t="str">
        <f t="shared" si="0"/>
        <v>gr2037 Višeň metal</v>
      </c>
      <c r="M76" s="153"/>
      <c r="N76" s="153"/>
      <c r="O76" s="154"/>
      <c r="P76" s="152"/>
      <c r="Q76" s="152"/>
      <c r="R76" s="152"/>
      <c r="U76" t="str">
        <f t="shared" si="2"/>
        <v> </v>
      </c>
    </row>
    <row r="77" spans="1:18" ht="25.5">
      <c r="A77" s="280" t="str">
        <f t="shared" si="6"/>
        <v>gr2008 Cremeline</v>
      </c>
      <c r="B77" s="47">
        <v>2</v>
      </c>
      <c r="C77" s="48"/>
      <c r="D77" s="41" t="s">
        <v>842</v>
      </c>
      <c r="E77" s="47" t="s">
        <v>843</v>
      </c>
      <c r="F77" s="47"/>
      <c r="G77" s="47"/>
      <c r="I77" t="str">
        <f t="shared" si="0"/>
        <v>gr2008 Cremeline</v>
      </c>
      <c r="M77" s="153"/>
      <c r="N77" s="153"/>
      <c r="O77" s="154"/>
      <c r="P77" s="152"/>
      <c r="Q77" s="152"/>
      <c r="R77" s="152"/>
    </row>
    <row r="78" spans="1:18" ht="38.25">
      <c r="A78" s="280" t="str">
        <f t="shared" si="6"/>
        <v>gr2049 Rosé matné</v>
      </c>
      <c r="B78" s="47">
        <v>2</v>
      </c>
      <c r="C78" s="48"/>
      <c r="D78" s="41" t="s">
        <v>844</v>
      </c>
      <c r="E78" s="47" t="s">
        <v>845</v>
      </c>
      <c r="F78" s="47"/>
      <c r="G78" s="47"/>
      <c r="I78" t="str">
        <f t="shared" si="0"/>
        <v>gr2049 Rosé matné</v>
      </c>
      <c r="M78" s="153"/>
      <c r="N78" s="153"/>
      <c r="O78" s="154"/>
      <c r="P78" s="152"/>
      <c r="Q78" s="152"/>
      <c r="R78" s="152"/>
    </row>
    <row r="79" spans="1:18" ht="38.25">
      <c r="A79" s="280" t="str">
        <f t="shared" si="6"/>
        <v>gr2005 Krémová mat</v>
      </c>
      <c r="B79" s="47">
        <v>2</v>
      </c>
      <c r="C79" s="48"/>
      <c r="D79" s="41" t="s">
        <v>846</v>
      </c>
      <c r="E79" s="47" t="s">
        <v>847</v>
      </c>
      <c r="F79" s="47"/>
      <c r="G79" s="47"/>
      <c r="I79" t="str">
        <f t="shared" si="0"/>
        <v>gr2005 Krémová mat</v>
      </c>
      <c r="M79" s="153"/>
      <c r="N79" s="153"/>
      <c r="O79" s="154"/>
      <c r="P79" s="152"/>
      <c r="Q79" s="152"/>
      <c r="R79" s="152"/>
    </row>
    <row r="80" spans="1:18" ht="25.5">
      <c r="A80" s="280" t="str">
        <f t="shared" si="6"/>
        <v>gr2006 Bílá káva mat</v>
      </c>
      <c r="B80" s="47">
        <v>2</v>
      </c>
      <c r="C80" s="48"/>
      <c r="D80" s="41" t="s">
        <v>848</v>
      </c>
      <c r="E80" s="47" t="s">
        <v>849</v>
      </c>
      <c r="F80" s="47"/>
      <c r="G80" s="47"/>
      <c r="I80" t="str">
        <f t="shared" si="0"/>
        <v>gr2006 Bílá káva mat</v>
      </c>
      <c r="M80" s="153"/>
      <c r="N80" s="153"/>
      <c r="O80" s="154"/>
      <c r="P80" s="152"/>
      <c r="Q80" s="152"/>
      <c r="R80" s="152"/>
    </row>
    <row r="81" spans="1:18" ht="25.5">
      <c r="A81" s="280" t="str">
        <f t="shared" si="6"/>
        <v>gr2009 Šedá mat</v>
      </c>
      <c r="B81" s="47">
        <v>2</v>
      </c>
      <c r="C81" s="48"/>
      <c r="D81" s="41" t="s">
        <v>850</v>
      </c>
      <c r="E81" s="47" t="s">
        <v>851</v>
      </c>
      <c r="F81" s="47"/>
      <c r="G81" s="47"/>
      <c r="I81" t="str">
        <f t="shared" si="0"/>
        <v>gr2009 Šedá mat</v>
      </c>
      <c r="M81" s="153"/>
      <c r="N81" s="153"/>
      <c r="O81" s="154"/>
      <c r="P81" s="152"/>
      <c r="Q81" s="152"/>
      <c r="R81" s="152"/>
    </row>
    <row r="82" spans="1:18" ht="25.5">
      <c r="A82" s="280" t="str">
        <f t="shared" si="6"/>
        <v>gr2025 Dub polární</v>
      </c>
      <c r="B82" s="47">
        <v>2</v>
      </c>
      <c r="C82" s="48"/>
      <c r="D82" s="41" t="s">
        <v>852</v>
      </c>
      <c r="E82" s="47" t="s">
        <v>853</v>
      </c>
      <c r="F82" s="47"/>
      <c r="G82" s="47"/>
      <c r="I82" t="str">
        <f t="shared" si="0"/>
        <v>gr2025 Dub polární</v>
      </c>
      <c r="M82" s="153"/>
      <c r="N82" s="153"/>
      <c r="O82" s="154"/>
      <c r="P82" s="152"/>
      <c r="Q82" s="152"/>
      <c r="R82" s="152"/>
    </row>
    <row r="83" spans="1:18" ht="25.5">
      <c r="A83" s="280" t="str">
        <f t="shared" si="6"/>
        <v>gr2021 Dub Tabacco</v>
      </c>
      <c r="B83" s="47">
        <v>2</v>
      </c>
      <c r="C83" s="48"/>
      <c r="D83" s="41" t="s">
        <v>854</v>
      </c>
      <c r="E83" s="47" t="s">
        <v>855</v>
      </c>
      <c r="F83" s="47"/>
      <c r="G83" s="47"/>
      <c r="I83" t="str">
        <f t="shared" si="0"/>
        <v>gr2021 Dub Tabacco</v>
      </c>
      <c r="M83" s="153"/>
      <c r="N83" s="153"/>
      <c r="O83" s="154"/>
      <c r="P83" s="152"/>
      <c r="Q83" s="152"/>
      <c r="R83" s="152"/>
    </row>
    <row r="84" spans="1:18" ht="25.5">
      <c r="A84" s="280" t="str">
        <f t="shared" si="6"/>
        <v>gr2046 Eben</v>
      </c>
      <c r="B84" s="47">
        <v>2</v>
      </c>
      <c r="C84" s="48"/>
      <c r="D84" s="41" t="s">
        <v>856</v>
      </c>
      <c r="E84" s="47" t="s">
        <v>857</v>
      </c>
      <c r="F84" s="47"/>
      <c r="G84" s="47"/>
      <c r="I84" t="str">
        <f t="shared" si="0"/>
        <v>gr2046 Eben</v>
      </c>
      <c r="M84" s="153"/>
      <c r="N84" s="153"/>
      <c r="O84" s="154"/>
      <c r="P84" s="152"/>
      <c r="Q84" s="152"/>
      <c r="R84" s="152"/>
    </row>
    <row r="85" spans="1:18" ht="25.5">
      <c r="A85" s="280" t="str">
        <f t="shared" si="6"/>
        <v>gr2010 Buk Real</v>
      </c>
      <c r="B85" s="47">
        <v>2</v>
      </c>
      <c r="C85" s="48"/>
      <c r="D85" s="41" t="s">
        <v>858</v>
      </c>
      <c r="E85" s="47" t="s">
        <v>859</v>
      </c>
      <c r="F85" s="47"/>
      <c r="G85" s="47"/>
      <c r="I85" t="str">
        <f t="shared" si="0"/>
        <v>gr2010 Buk Real</v>
      </c>
      <c r="M85" s="153"/>
      <c r="N85" s="153"/>
      <c r="O85" s="154"/>
      <c r="P85" s="152"/>
      <c r="Q85" s="152"/>
      <c r="R85" s="152"/>
    </row>
    <row r="86" spans="1:18" ht="25.5">
      <c r="A86" s="280" t="str">
        <f t="shared" si="6"/>
        <v>gr2007 Dub Rustico</v>
      </c>
      <c r="B86" s="47">
        <v>2</v>
      </c>
      <c r="C86" s="48"/>
      <c r="D86" s="41" t="s">
        <v>860</v>
      </c>
      <c r="E86" s="47" t="s">
        <v>861</v>
      </c>
      <c r="F86" s="47"/>
      <c r="G86" s="47"/>
      <c r="I86" t="str">
        <f t="shared" si="0"/>
        <v>gr2007 Dub Rustico</v>
      </c>
      <c r="M86" s="153"/>
      <c r="N86" s="153"/>
      <c r="O86" s="154"/>
      <c r="P86" s="152"/>
      <c r="Q86" s="152"/>
      <c r="R86" s="152"/>
    </row>
    <row r="87" spans="1:18" ht="25.5">
      <c r="A87" s="280" t="str">
        <f t="shared" si="6"/>
        <v>gr2448 Dub Victoria</v>
      </c>
      <c r="B87" s="47">
        <v>2</v>
      </c>
      <c r="C87" s="48"/>
      <c r="D87" s="41" t="s">
        <v>862</v>
      </c>
      <c r="E87" s="47" t="s">
        <v>863</v>
      </c>
      <c r="F87" s="47"/>
      <c r="G87" s="47"/>
      <c r="I87" t="str">
        <f t="shared" si="0"/>
        <v>gr2448 Dub Victoria</v>
      </c>
      <c r="M87" s="153"/>
      <c r="N87" s="153"/>
      <c r="O87" s="154"/>
      <c r="P87" s="152"/>
      <c r="Q87" s="152"/>
      <c r="R87" s="152"/>
    </row>
    <row r="88" spans="1:18" ht="25.5">
      <c r="A88" s="280" t="str">
        <f t="shared" si="6"/>
        <v>gr2016 Dub horský</v>
      </c>
      <c r="B88" s="47">
        <v>2</v>
      </c>
      <c r="C88" s="48"/>
      <c r="D88" s="41" t="s">
        <v>864</v>
      </c>
      <c r="E88" s="47" t="s">
        <v>865</v>
      </c>
      <c r="F88" s="47"/>
      <c r="G88" s="47"/>
      <c r="I88" t="str">
        <f t="shared" si="0"/>
        <v>gr2016 Dub horský</v>
      </c>
      <c r="M88" s="153"/>
      <c r="N88" s="153"/>
      <c r="O88" s="154"/>
      <c r="P88" s="152"/>
      <c r="Q88" s="152"/>
      <c r="R88" s="152"/>
    </row>
    <row r="89" spans="1:18" ht="25.5">
      <c r="A89" s="280" t="str">
        <f t="shared" si="6"/>
        <v>gr2035 Buk Aragon</v>
      </c>
      <c r="B89" s="47">
        <v>2</v>
      </c>
      <c r="C89" s="48"/>
      <c r="D89" s="41" t="s">
        <v>866</v>
      </c>
      <c r="E89" s="47" t="s">
        <v>867</v>
      </c>
      <c r="F89" s="47"/>
      <c r="G89" s="47"/>
      <c r="I89" t="str">
        <f t="shared" si="0"/>
        <v>gr2035 Buk Aragon</v>
      </c>
      <c r="M89" s="153"/>
      <c r="N89" s="153"/>
      <c r="O89" s="154"/>
      <c r="P89" s="152"/>
      <c r="Q89" s="152"/>
      <c r="R89" s="152"/>
    </row>
    <row r="90" spans="1:18" ht="25.5">
      <c r="A90" s="280" t="str">
        <f t="shared" si="6"/>
        <v>gr2054 Rez tmavá</v>
      </c>
      <c r="B90" s="47">
        <v>2</v>
      </c>
      <c r="C90" s="48"/>
      <c r="D90" s="41" t="s">
        <v>868</v>
      </c>
      <c r="E90" s="47" t="s">
        <v>869</v>
      </c>
      <c r="F90" s="47"/>
      <c r="G90" s="47"/>
      <c r="I90" t="str">
        <f t="shared" si="0"/>
        <v>gr2054 Rez tmavá</v>
      </c>
      <c r="M90" s="153"/>
      <c r="N90" s="153"/>
      <c r="O90" s="154"/>
      <c r="P90" s="152"/>
      <c r="Q90" s="152"/>
      <c r="R90" s="152"/>
    </row>
    <row r="91" spans="1:18" ht="38.25">
      <c r="A91" s="280" t="str">
        <f t="shared" si="6"/>
        <v>gr2018 K016 Karbon</v>
      </c>
      <c r="B91" s="47">
        <v>2</v>
      </c>
      <c r="C91" s="48"/>
      <c r="D91" s="41" t="s">
        <v>870</v>
      </c>
      <c r="E91" s="47" t="s">
        <v>871</v>
      </c>
      <c r="F91" s="47"/>
      <c r="G91" s="47"/>
      <c r="I91" t="str">
        <f t="shared" si="0"/>
        <v>gr2018 K016 Karbon</v>
      </c>
      <c r="M91" s="153"/>
      <c r="N91" s="153"/>
      <c r="O91" s="154"/>
      <c r="P91" s="152"/>
      <c r="Q91" s="152"/>
      <c r="R91" s="152"/>
    </row>
    <row r="92" spans="1:18" ht="38.25">
      <c r="A92" s="280" t="str">
        <f t="shared" si="6"/>
        <v>gr2053 K015 Vintage</v>
      </c>
      <c r="B92" s="47">
        <v>2</v>
      </c>
      <c r="C92" s="48"/>
      <c r="D92" s="41" t="s">
        <v>872</v>
      </c>
      <c r="E92" s="47" t="s">
        <v>873</v>
      </c>
      <c r="F92" s="47"/>
      <c r="G92" s="47"/>
      <c r="I92" t="str">
        <f t="shared" si="0"/>
        <v>gr2053 K015 Vintage</v>
      </c>
      <c r="M92" s="153"/>
      <c r="N92" s="153"/>
      <c r="O92" s="154"/>
      <c r="P92" s="152"/>
      <c r="Q92" s="152"/>
      <c r="R92" s="152"/>
    </row>
    <row r="93" spans="1:18" ht="38.25">
      <c r="A93" s="280" t="str">
        <f t="shared" si="6"/>
        <v>gr2062 Antracit Opaco</v>
      </c>
      <c r="B93" s="47">
        <v>2</v>
      </c>
      <c r="C93" s="48"/>
      <c r="D93" s="41" t="s">
        <v>874</v>
      </c>
      <c r="E93" s="47" t="s">
        <v>875</v>
      </c>
      <c r="F93" s="47"/>
      <c r="G93" s="47"/>
      <c r="I93" t="str">
        <f t="shared" si="0"/>
        <v>gr2062 Antracit Opaco</v>
      </c>
      <c r="M93" s="153"/>
      <c r="N93" s="153"/>
      <c r="O93" s="154"/>
      <c r="P93" s="152"/>
      <c r="Q93" s="152"/>
      <c r="R93" s="152"/>
    </row>
    <row r="94" spans="1:18" ht="25.5">
      <c r="A94" s="280" t="str">
        <f t="shared" si="6"/>
        <v>gr2044 Hrušeň mat</v>
      </c>
      <c r="B94" s="47">
        <v>2</v>
      </c>
      <c r="C94" s="48"/>
      <c r="D94" s="41" t="s">
        <v>876</v>
      </c>
      <c r="E94" s="47" t="s">
        <v>877</v>
      </c>
      <c r="F94" s="47"/>
      <c r="G94" s="47"/>
      <c r="I94" t="str">
        <f t="shared" si="0"/>
        <v>gr2044 Hrušeň mat</v>
      </c>
      <c r="M94" s="153"/>
      <c r="N94" s="153"/>
      <c r="O94" s="154"/>
      <c r="P94" s="152"/>
      <c r="Q94" s="152"/>
      <c r="R94" s="152"/>
    </row>
    <row r="95" spans="1:18" ht="12.75">
      <c r="A95" s="280" t="str">
        <f t="shared" si="6"/>
        <v>gr2068 Jilm</v>
      </c>
      <c r="B95" s="47">
        <v>2</v>
      </c>
      <c r="C95" s="48"/>
      <c r="D95" s="41" t="s">
        <v>878</v>
      </c>
      <c r="E95" s="47" t="s">
        <v>879</v>
      </c>
      <c r="F95" s="47"/>
      <c r="G95" s="47"/>
      <c r="I95" t="str">
        <f t="shared" si="0"/>
        <v>gr2068 Jilm</v>
      </c>
      <c r="M95" s="153"/>
      <c r="N95" s="153"/>
      <c r="O95" s="154"/>
      <c r="P95" s="152"/>
      <c r="Q95" s="152"/>
      <c r="R95" s="152"/>
    </row>
    <row r="96" spans="1:18" ht="25.5">
      <c r="A96" s="280" t="str">
        <f t="shared" si="6"/>
        <v>gr2059 Jabloň mat</v>
      </c>
      <c r="B96" s="47">
        <v>2</v>
      </c>
      <c r="C96" s="48"/>
      <c r="D96" s="41" t="s">
        <v>880</v>
      </c>
      <c r="E96" s="47" t="s">
        <v>881</v>
      </c>
      <c r="F96" s="47"/>
      <c r="G96" s="47"/>
      <c r="I96" t="str">
        <f t="shared" si="0"/>
        <v>gr2059 Jabloň mat</v>
      </c>
      <c r="M96" s="153"/>
      <c r="N96" s="153"/>
      <c r="O96" s="154"/>
      <c r="P96" s="152"/>
      <c r="Q96" s="152"/>
      <c r="R96" s="152"/>
    </row>
    <row r="97" spans="1:18" ht="25.5">
      <c r="A97" s="280" t="str">
        <f t="shared" si="6"/>
        <v>gr2060 Tyrol mat</v>
      </c>
      <c r="B97" s="47">
        <v>2</v>
      </c>
      <c r="C97" s="48"/>
      <c r="D97" s="41" t="s">
        <v>882</v>
      </c>
      <c r="E97" s="47" t="s">
        <v>883</v>
      </c>
      <c r="F97" s="47"/>
      <c r="G97" s="47"/>
      <c r="I97" t="str">
        <f t="shared" si="0"/>
        <v>gr2060 Tyrol mat</v>
      </c>
      <c r="M97" s="153"/>
      <c r="N97" s="153"/>
      <c r="O97" s="154"/>
      <c r="P97" s="152"/>
      <c r="Q97" s="152"/>
      <c r="R97" s="152"/>
    </row>
    <row r="98" spans="1:18" ht="25.5">
      <c r="A98" s="280" t="str">
        <f t="shared" si="6"/>
        <v>gr2020 dub Ontario</v>
      </c>
      <c r="B98" s="47">
        <v>2</v>
      </c>
      <c r="C98" s="48"/>
      <c r="D98" s="41" t="s">
        <v>884</v>
      </c>
      <c r="E98" s="47" t="s">
        <v>885</v>
      </c>
      <c r="F98" s="47"/>
      <c r="G98" s="47"/>
      <c r="I98" t="str">
        <f t="shared" si="0"/>
        <v>gr2020 dub Ontario</v>
      </c>
      <c r="M98" s="153"/>
      <c r="N98" s="153"/>
      <c r="O98" s="154"/>
      <c r="P98" s="152"/>
      <c r="Q98" s="152"/>
      <c r="R98" s="152"/>
    </row>
    <row r="99" spans="1:18" ht="25.5">
      <c r="A99" s="280" t="str">
        <f t="shared" si="6"/>
        <v>gr2042 dub Regina</v>
      </c>
      <c r="B99" s="47">
        <v>2</v>
      </c>
      <c r="C99" s="48"/>
      <c r="D99" s="41" t="s">
        <v>886</v>
      </c>
      <c r="E99" s="47" t="s">
        <v>887</v>
      </c>
      <c r="F99" s="47"/>
      <c r="G99" s="47"/>
      <c r="I99" t="str">
        <f t="shared" si="0"/>
        <v>gr2042 dub Regina</v>
      </c>
      <c r="M99" s="153"/>
      <c r="N99" s="153"/>
      <c r="O99" s="154"/>
      <c r="P99" s="152"/>
      <c r="Q99" s="152"/>
      <c r="R99" s="152"/>
    </row>
    <row r="100" spans="1:18" ht="38.25">
      <c r="A100" s="280" t="str">
        <f t="shared" si="6"/>
        <v>gr2023 Švestka matná</v>
      </c>
      <c r="B100" s="47">
        <v>2</v>
      </c>
      <c r="C100" s="48"/>
      <c r="D100" s="41" t="s">
        <v>888</v>
      </c>
      <c r="E100" s="47" t="s">
        <v>889</v>
      </c>
      <c r="F100" s="47"/>
      <c r="G100" s="47"/>
      <c r="I100" t="str">
        <f t="shared" si="0"/>
        <v>gr2023 Švestka matná</v>
      </c>
      <c r="M100" s="153"/>
      <c r="N100" s="153"/>
      <c r="O100" s="154"/>
      <c r="P100" s="152"/>
      <c r="Q100" s="152"/>
      <c r="R100" s="152"/>
    </row>
    <row r="101" spans="1:18" ht="25.5">
      <c r="A101" s="280" t="str">
        <f t="shared" si="6"/>
        <v>gr2067 Oliva mat</v>
      </c>
      <c r="B101" s="47">
        <v>2</v>
      </c>
      <c r="C101" s="48"/>
      <c r="D101" s="41" t="s">
        <v>890</v>
      </c>
      <c r="E101" s="47" t="s">
        <v>891</v>
      </c>
      <c r="F101" s="47"/>
      <c r="G101" s="47"/>
      <c r="I101" t="str">
        <f t="shared" si="0"/>
        <v>gr2067 Oliva mat</v>
      </c>
      <c r="M101" s="153"/>
      <c r="N101" s="153"/>
      <c r="O101" s="154"/>
      <c r="P101" s="152"/>
      <c r="Q101" s="152"/>
      <c r="R101" s="152"/>
    </row>
    <row r="102" spans="1:18" ht="38.25">
      <c r="A102" s="280" t="str">
        <f t="shared" si="6"/>
        <v>gr2030 K021 Barley</v>
      </c>
      <c r="B102" s="47">
        <v>2</v>
      </c>
      <c r="C102" s="48"/>
      <c r="D102" s="41" t="s">
        <v>892</v>
      </c>
      <c r="E102" s="47" t="s">
        <v>893</v>
      </c>
      <c r="F102" s="47"/>
      <c r="G102" s="47"/>
      <c r="I102" t="str">
        <f t="shared" si="0"/>
        <v>gr2030 K021 Barley</v>
      </c>
      <c r="M102" s="153"/>
      <c r="N102" s="153"/>
      <c r="O102" s="154"/>
      <c r="P102" s="152"/>
      <c r="Q102" s="152"/>
      <c r="R102" s="152"/>
    </row>
    <row r="103" spans="1:18" ht="25.5">
      <c r="A103" s="280" t="str">
        <f t="shared" si="6"/>
        <v>gr2015 Perleťová</v>
      </c>
      <c r="B103" s="47">
        <v>2</v>
      </c>
      <c r="C103" s="48"/>
      <c r="D103" s="41" t="s">
        <v>894</v>
      </c>
      <c r="E103" s="47" t="s">
        <v>895</v>
      </c>
      <c r="F103" s="47"/>
      <c r="G103" s="47"/>
      <c r="I103" t="str">
        <f t="shared" si="0"/>
        <v>gr2015 Perleťová</v>
      </c>
      <c r="M103" s="153"/>
      <c r="N103" s="153"/>
      <c r="O103" s="154"/>
      <c r="P103" s="152"/>
      <c r="Q103" s="152"/>
      <c r="R103" s="152"/>
    </row>
    <row r="104" spans="1:18" ht="25.5">
      <c r="A104" s="280" t="str">
        <f t="shared" si="6"/>
        <v>gr2012 Antracit</v>
      </c>
      <c r="B104" s="47">
        <v>2</v>
      </c>
      <c r="C104" s="48"/>
      <c r="D104" s="41" t="s">
        <v>896</v>
      </c>
      <c r="E104" s="47" t="s">
        <v>897</v>
      </c>
      <c r="F104" s="47"/>
      <c r="G104" s="47"/>
      <c r="I104" t="str">
        <f t="shared" si="0"/>
        <v>gr2012 Antracit</v>
      </c>
      <c r="M104" s="153"/>
      <c r="N104" s="153"/>
      <c r="O104" s="154"/>
      <c r="P104" s="152"/>
      <c r="Q104" s="152"/>
      <c r="R104" s="152"/>
    </row>
    <row r="105" spans="1:18" ht="38.25">
      <c r="A105" s="280" t="str">
        <f t="shared" si="6"/>
        <v>gr2027 Beton jemný</v>
      </c>
      <c r="B105" s="47">
        <v>2</v>
      </c>
      <c r="C105" s="48"/>
      <c r="D105" s="41" t="s">
        <v>898</v>
      </c>
      <c r="E105" s="47" t="s">
        <v>899</v>
      </c>
      <c r="F105" s="47"/>
      <c r="G105" s="47"/>
      <c r="I105" t="str">
        <f t="shared" si="0"/>
        <v>gr2027 Beton jemný</v>
      </c>
      <c r="M105" s="153"/>
      <c r="N105" s="153"/>
      <c r="O105" s="154"/>
      <c r="P105" s="152"/>
      <c r="Q105" s="152"/>
      <c r="R105" s="152"/>
    </row>
    <row r="106" spans="1:18" ht="12.75">
      <c r="A106" s="151"/>
      <c r="B106" s="47"/>
      <c r="C106" s="48"/>
      <c r="E106" s="47"/>
      <c r="F106" s="47"/>
      <c r="G106" s="47"/>
      <c r="I106">
        <f t="shared" si="0"/>
        <v>0</v>
      </c>
      <c r="M106" s="153"/>
      <c r="N106" s="153"/>
      <c r="O106" s="154"/>
      <c r="P106" s="152"/>
      <c r="Q106" s="152"/>
      <c r="R106" s="152"/>
    </row>
    <row r="107" spans="1:18" ht="12.75">
      <c r="A107" s="42" t="s">
        <v>88</v>
      </c>
      <c r="B107" s="47"/>
      <c r="C107" s="48"/>
      <c r="E107" s="47"/>
      <c r="F107" s="47"/>
      <c r="G107" s="47"/>
      <c r="I107" t="str">
        <f t="shared" si="0"/>
        <v>                      výběrové fólie skupina 3</v>
      </c>
      <c r="M107" s="153"/>
      <c r="N107" s="153"/>
      <c r="O107" s="154"/>
      <c r="P107" s="152"/>
      <c r="Q107" s="152"/>
      <c r="R107" s="152"/>
    </row>
    <row r="108" spans="1:18" ht="25.5">
      <c r="A108" s="280" t="str">
        <f aca="true" t="shared" si="7" ref="A108:A116">CONCATENATE(D108," ",E108)</f>
        <v>20BK  Buk světlý</v>
      </c>
      <c r="B108" s="47">
        <v>3</v>
      </c>
      <c r="C108" s="47"/>
      <c r="D108" s="41" t="s">
        <v>484</v>
      </c>
      <c r="E108" s="41" t="s">
        <v>485</v>
      </c>
      <c r="G108" s="47"/>
      <c r="I108" t="str">
        <f t="shared" si="0"/>
        <v>20BK  Buk světlý</v>
      </c>
      <c r="M108" s="153"/>
      <c r="N108" s="153"/>
      <c r="O108" s="154"/>
      <c r="P108" s="152"/>
      <c r="Q108" s="152"/>
      <c r="R108" s="152"/>
    </row>
    <row r="109" spans="1:18" ht="25.5">
      <c r="A109" s="280" t="str">
        <f t="shared" si="7"/>
        <v>03DB16 Tmavý dub</v>
      </c>
      <c r="B109" s="47">
        <v>3</v>
      </c>
      <c r="D109" s="41" t="s">
        <v>311</v>
      </c>
      <c r="E109" s="41" t="s">
        <v>692</v>
      </c>
      <c r="G109" s="47"/>
      <c r="I109" t="str">
        <f t="shared" si="0"/>
        <v>03DB16 Tmavý dub</v>
      </c>
      <c r="M109" s="153"/>
      <c r="N109" s="153"/>
      <c r="O109" s="154"/>
      <c r="P109" s="152"/>
      <c r="Q109" s="152"/>
      <c r="R109" s="152"/>
    </row>
    <row r="110" spans="1:18" ht="25.5">
      <c r="A110" s="280" t="str">
        <f t="shared" si="7"/>
        <v>21PA Palisandr</v>
      </c>
      <c r="B110" s="47">
        <v>3</v>
      </c>
      <c r="C110" s="48"/>
      <c r="D110" s="41" t="s">
        <v>694</v>
      </c>
      <c r="E110" s="41" t="s">
        <v>548</v>
      </c>
      <c r="G110" s="47"/>
      <c r="I110" t="str">
        <f t="shared" si="0"/>
        <v>21PA Palisandr</v>
      </c>
      <c r="M110" s="153"/>
      <c r="N110" s="153"/>
      <c r="O110" s="154"/>
      <c r="P110" s="152"/>
      <c r="Q110" s="152"/>
      <c r="R110" s="152"/>
    </row>
    <row r="111" spans="1:18" ht="25.5">
      <c r="A111" s="280" t="str">
        <f t="shared" si="7"/>
        <v>27DB Dub winchester</v>
      </c>
      <c r="B111" s="47">
        <v>3</v>
      </c>
      <c r="C111" s="47"/>
      <c r="D111" s="41" t="s">
        <v>695</v>
      </c>
      <c r="E111" s="198" t="s">
        <v>543</v>
      </c>
      <c r="G111" s="47"/>
      <c r="I111" t="str">
        <f t="shared" si="0"/>
        <v>27DB Dub winchester</v>
      </c>
      <c r="M111" s="153"/>
      <c r="N111" s="153"/>
      <c r="O111" s="154"/>
      <c r="P111" s="152"/>
      <c r="Q111" s="152"/>
      <c r="R111" s="152"/>
    </row>
    <row r="112" spans="1:18" ht="12.75">
      <c r="A112" s="280"/>
      <c r="B112" s="47"/>
      <c r="C112" s="48"/>
      <c r="F112" s="201"/>
      <c r="G112" s="47"/>
      <c r="I112">
        <f t="shared" si="0"/>
        <v>0</v>
      </c>
      <c r="M112" s="153"/>
      <c r="N112" s="153"/>
      <c r="O112" s="154"/>
      <c r="P112" s="152"/>
      <c r="Q112" s="152"/>
      <c r="R112" s="152"/>
    </row>
    <row r="113" spans="1:18" ht="25.5">
      <c r="A113" s="280" t="str">
        <f t="shared" si="7"/>
        <v>dv0256 Dub cantry</v>
      </c>
      <c r="B113" s="47">
        <v>3</v>
      </c>
      <c r="C113" s="47"/>
      <c r="D113" s="41" t="s">
        <v>553</v>
      </c>
      <c r="E113" s="196" t="s">
        <v>554</v>
      </c>
      <c r="F113" s="201"/>
      <c r="G113" s="47"/>
      <c r="I113" t="str">
        <f t="shared" si="0"/>
        <v>dv0256 Dub cantry</v>
      </c>
      <c r="M113" s="153"/>
      <c r="N113" s="153"/>
      <c r="O113" s="154"/>
      <c r="P113" s="152"/>
      <c r="Q113" s="152"/>
      <c r="R113" s="152"/>
    </row>
    <row r="114" spans="1:18" ht="25.5">
      <c r="A114" s="280" t="str">
        <f t="shared" si="7"/>
        <v>dv0963 Dub šedivý</v>
      </c>
      <c r="B114" s="47">
        <v>3</v>
      </c>
      <c r="C114" s="48"/>
      <c r="D114" s="41" t="s">
        <v>487</v>
      </c>
      <c r="E114" s="41" t="s">
        <v>488</v>
      </c>
      <c r="F114" s="201"/>
      <c r="I114" t="str">
        <f t="shared" si="0"/>
        <v>dv0963 Dub šedivý</v>
      </c>
      <c r="M114" s="153"/>
      <c r="N114" s="153"/>
      <c r="O114" s="154"/>
      <c r="P114" s="152"/>
      <c r="Q114" s="152"/>
      <c r="R114" s="152"/>
    </row>
    <row r="115" spans="1:18" ht="25.5">
      <c r="A115" s="280" t="str">
        <f t="shared" si="7"/>
        <v>dv1931 Buk čoko</v>
      </c>
      <c r="B115" s="47">
        <v>3</v>
      </c>
      <c r="C115" s="48"/>
      <c r="D115" s="41" t="s">
        <v>691</v>
      </c>
      <c r="E115" s="41" t="s">
        <v>734</v>
      </c>
      <c r="I115" t="str">
        <f>A115</f>
        <v>dv1931 Buk čoko</v>
      </c>
      <c r="M115" s="153"/>
      <c r="N115" s="153"/>
      <c r="O115" s="154"/>
      <c r="P115" s="152"/>
      <c r="Q115" s="152"/>
      <c r="R115" s="152"/>
    </row>
    <row r="116" spans="1:18" ht="38.25">
      <c r="A116" s="280" t="str">
        <f t="shared" si="7"/>
        <v>dv1932 Jabloň Cava</v>
      </c>
      <c r="B116" s="47">
        <v>3</v>
      </c>
      <c r="C116" s="48"/>
      <c r="D116" s="41" t="s">
        <v>693</v>
      </c>
      <c r="E116" s="197" t="s">
        <v>735</v>
      </c>
      <c r="I116" t="str">
        <f>A116</f>
        <v>dv1932 Jabloň Cava</v>
      </c>
      <c r="M116" s="153"/>
      <c r="N116" s="153"/>
      <c r="O116" s="154"/>
      <c r="P116" s="152"/>
      <c r="Q116" s="152"/>
      <c r="R116" s="152"/>
    </row>
    <row r="117" spans="1:18" ht="12.75">
      <c r="A117" s="151"/>
      <c r="B117" s="47"/>
      <c r="C117" s="48"/>
      <c r="I117">
        <f>A117</f>
        <v>0</v>
      </c>
      <c r="M117" s="153"/>
      <c r="N117" s="153"/>
      <c r="O117" s="154"/>
      <c r="P117" s="152"/>
      <c r="Q117" s="152"/>
      <c r="R117" s="152"/>
    </row>
    <row r="118" spans="1:18" ht="12.75">
      <c r="A118" s="42" t="s">
        <v>93</v>
      </c>
      <c r="B118" s="47"/>
      <c r="C118" s="48"/>
      <c r="E118" s="47"/>
      <c r="F118" s="47"/>
      <c r="G118" s="47"/>
      <c r="I118" t="str">
        <f>IF(INDEX(tvar_komplet,Objednávka!$BC$16,3)="x",zadani!A118,"")</f>
        <v>                      výběrové fólie pololesk sk. 3</v>
      </c>
      <c r="M118" s="153"/>
      <c r="N118" s="153"/>
      <c r="O118" s="154"/>
      <c r="P118" s="152"/>
      <c r="Q118" s="152"/>
      <c r="R118" s="152"/>
    </row>
    <row r="119" spans="1:18" ht="51">
      <c r="A119" s="280" t="str">
        <f>CONCATENATE(D119," ",E119)</f>
        <v>4221005 Sylvaine bílý pololesk</v>
      </c>
      <c r="B119" s="47">
        <v>3</v>
      </c>
      <c r="D119" s="41">
        <v>4221005</v>
      </c>
      <c r="E119" s="197" t="s">
        <v>283</v>
      </c>
      <c r="I119" t="str">
        <f>IF(INDEX(tvar_komplet,Objednávka!$BC$16,3)="x",zadani!A119,"")</f>
        <v>4221005 Sylvaine bílý pololesk</v>
      </c>
      <c r="M119" s="153"/>
      <c r="N119" s="153"/>
      <c r="O119" s="154"/>
      <c r="P119" s="152"/>
      <c r="Q119" s="152"/>
      <c r="R119" s="152"/>
    </row>
    <row r="120" spans="1:18" ht="12.75">
      <c r="A120" s="42" t="s">
        <v>736</v>
      </c>
      <c r="B120" s="47"/>
      <c r="C120" s="48"/>
      <c r="I120" t="str">
        <f>IF(INDEX(tvar_komplet,Objednávka!$BC$16,2)="x",zadani!A120,"")</f>
        <v>                      výběrové fólie skupina 4</v>
      </c>
      <c r="M120" s="152"/>
      <c r="N120" s="152"/>
      <c r="O120" s="152"/>
      <c r="P120" s="152"/>
      <c r="Q120" s="152"/>
      <c r="R120" s="152"/>
    </row>
    <row r="121" spans="1:18" ht="25.5">
      <c r="A121" s="280" t="str">
        <f>CONCATENATE(D121," ",E121)</f>
        <v>dv2102 Dub sanremo</v>
      </c>
      <c r="B121" s="47">
        <v>4</v>
      </c>
      <c r="D121" s="41" t="s">
        <v>696</v>
      </c>
      <c r="E121" s="41" t="s">
        <v>737</v>
      </c>
      <c r="I121" t="str">
        <f>IF(INDEX(tvar_komplet,Objednávka!$BC$16,2)="x",zadani!A121,"")</f>
        <v>dv2102 Dub sanremo</v>
      </c>
      <c r="M121" s="152"/>
      <c r="N121" s="152"/>
      <c r="O121" s="152"/>
      <c r="P121" s="152"/>
      <c r="Q121" s="152"/>
      <c r="R121" s="152"/>
    </row>
    <row r="122" spans="1:18" ht="38.25">
      <c r="A122" s="280" t="str">
        <f aca="true" t="shared" si="8" ref="A122:A137">CONCATENATE(D122," ",E122)</f>
        <v>dv2103 Borovice bělená</v>
      </c>
      <c r="B122" s="47">
        <v>4</v>
      </c>
      <c r="C122" s="47"/>
      <c r="D122" s="41" t="s">
        <v>697</v>
      </c>
      <c r="E122" s="41" t="s">
        <v>738</v>
      </c>
      <c r="I122" t="str">
        <f>IF(INDEX(tvar_komplet,Objednávka!$BC$16,2)="x",zadani!A122,"")</f>
        <v>dv2103 Borovice bělená</v>
      </c>
      <c r="M122" s="152"/>
      <c r="N122" s="152"/>
      <c r="O122" s="152"/>
      <c r="P122" s="152"/>
      <c r="Q122" s="152"/>
      <c r="R122" s="152"/>
    </row>
    <row r="123" spans="1:18" ht="38.25">
      <c r="A123" s="280" t="str">
        <f t="shared" si="8"/>
        <v>dv2104 Borovice vintage</v>
      </c>
      <c r="B123" s="47">
        <v>4</v>
      </c>
      <c r="C123" s="41"/>
      <c r="D123" s="41" t="s">
        <v>698</v>
      </c>
      <c r="E123" s="41" t="s">
        <v>739</v>
      </c>
      <c r="I123" t="str">
        <f>IF(INDEX(tvar_komplet,Objednávka!$BC$16,2)="x",zadani!A123,"")</f>
        <v>dv2104 Borovice vintage</v>
      </c>
      <c r="M123" s="152"/>
      <c r="N123" s="152"/>
      <c r="O123" s="152"/>
      <c r="P123" s="152"/>
      <c r="Q123" s="152"/>
      <c r="R123" s="152"/>
    </row>
    <row r="124" spans="1:18" ht="38.25">
      <c r="A124" s="280" t="str">
        <f t="shared" si="8"/>
        <v>dv2105 Modřín latte</v>
      </c>
      <c r="B124" s="47">
        <v>4</v>
      </c>
      <c r="D124" s="41" t="s">
        <v>699</v>
      </c>
      <c r="E124" s="41" t="s">
        <v>740</v>
      </c>
      <c r="G124" s="47"/>
      <c r="I124" t="str">
        <f>IF(INDEX(tvar_komplet,Objednávka!$BC$16,2)="x",zadani!A124,"")</f>
        <v>dv2105 Modřín latte</v>
      </c>
      <c r="M124" s="152"/>
      <c r="N124" s="152"/>
      <c r="O124" s="152"/>
      <c r="P124" s="152"/>
      <c r="Q124" s="152"/>
      <c r="R124" s="152"/>
    </row>
    <row r="125" spans="1:18" ht="38.25">
      <c r="A125" s="280" t="str">
        <f t="shared" si="8"/>
        <v>dv2106 Magnolie bílá</v>
      </c>
      <c r="B125" s="47">
        <v>4</v>
      </c>
      <c r="D125" s="41" t="s">
        <v>700</v>
      </c>
      <c r="E125" s="41" t="s">
        <v>741</v>
      </c>
      <c r="G125" s="47"/>
      <c r="I125" t="str">
        <f>IF(INDEX(tvar_komplet,Objednávka!$BC$16,2)="x",zadani!A125,"")</f>
        <v>dv2106 Magnolie bílá</v>
      </c>
      <c r="M125" s="152"/>
      <c r="N125" s="152"/>
      <c r="O125" s="152"/>
      <c r="P125" s="152"/>
      <c r="Q125" s="152"/>
      <c r="R125" s="152"/>
    </row>
    <row r="126" spans="1:18" ht="12.75">
      <c r="A126" s="280" t="str">
        <f t="shared" si="8"/>
        <v> </v>
      </c>
      <c r="B126" s="47">
        <v>4</v>
      </c>
      <c r="C126" s="47"/>
      <c r="G126" s="47"/>
      <c r="I126" t="str">
        <f>IF(INDEX(tvar_komplet,Objednávka!$BC$16,2)="x",zadani!A126,"")</f>
        <v> </v>
      </c>
      <c r="M126" s="152"/>
      <c r="N126" s="152"/>
      <c r="O126" s="152"/>
      <c r="P126" s="152"/>
      <c r="Q126" s="152"/>
      <c r="R126" s="152"/>
    </row>
    <row r="127" spans="1:18" ht="12.75">
      <c r="A127" s="239" t="s">
        <v>742</v>
      </c>
      <c r="B127" s="47"/>
      <c r="C127" s="48"/>
      <c r="E127" s="47"/>
      <c r="F127" s="47"/>
      <c r="G127" s="47"/>
      <c r="I127" t="str">
        <f>IF(INDEX(tvar_komplet,Objednávka!$BC$16,2)="x",zadani!A127,"")</f>
        <v>    hluboký mat - skupina 5</v>
      </c>
      <c r="M127" s="152"/>
      <c r="N127" s="152"/>
      <c r="O127" s="152"/>
      <c r="P127" s="152"/>
      <c r="Q127" s="152"/>
      <c r="R127" s="152"/>
    </row>
    <row r="128" spans="1:18" ht="51">
      <c r="A128" s="280" t="str">
        <f t="shared" si="8"/>
        <v>dv5103  Bílá hluboký mat</v>
      </c>
      <c r="B128" s="238">
        <v>5</v>
      </c>
      <c r="C128" s="48"/>
      <c r="D128" s="41" t="s">
        <v>701</v>
      </c>
      <c r="E128" s="202" t="s">
        <v>568</v>
      </c>
      <c r="F128" s="204"/>
      <c r="G128" s="203"/>
      <c r="I128" t="str">
        <f>IF(INDEX(tvar_komplet,Objednávka!$BC$16,2)="x",zadani!A128,"")</f>
        <v>dv5103  Bílá hluboký mat</v>
      </c>
      <c r="M128" s="152"/>
      <c r="N128" s="152"/>
      <c r="O128" s="152"/>
      <c r="P128" s="152"/>
      <c r="Q128" s="152"/>
      <c r="R128" s="152"/>
    </row>
    <row r="129" spans="1:18" ht="51">
      <c r="A129" s="280" t="str">
        <f t="shared" si="8"/>
        <v>dv5503 Šedá hluboký mat</v>
      </c>
      <c r="B129" s="238">
        <v>5</v>
      </c>
      <c r="C129" s="48"/>
      <c r="D129" s="41" t="s">
        <v>575</v>
      </c>
      <c r="E129" s="202" t="s">
        <v>576</v>
      </c>
      <c r="F129" s="204"/>
      <c r="G129" s="203"/>
      <c r="I129" t="str">
        <f>IF(INDEX(tvar_komplet,Objednávka!$BC$16,2)="x",zadani!A129,"")</f>
        <v>dv5503 Šedá hluboký mat</v>
      </c>
      <c r="M129" s="152"/>
      <c r="N129" s="152"/>
      <c r="O129" s="152"/>
      <c r="P129" s="152"/>
      <c r="Q129" s="152"/>
      <c r="R129" s="152"/>
    </row>
    <row r="130" spans="1:18" ht="51">
      <c r="A130" s="280" t="str">
        <f>CONCATENATE(D130," ",E130)</f>
        <v>dv5603 magnolie hluboký mat</v>
      </c>
      <c r="B130" s="238">
        <v>5</v>
      </c>
      <c r="C130" s="48"/>
      <c r="D130" s="41" t="s">
        <v>702</v>
      </c>
      <c r="E130" s="202" t="s">
        <v>703</v>
      </c>
      <c r="F130" s="204"/>
      <c r="G130" s="203"/>
      <c r="I130" t="str">
        <f>IF(INDEX(tvar_komplet,Objednávka!$BC$16,2)="x",zadani!A130,"")</f>
        <v>dv5603 magnolie hluboký mat</v>
      </c>
      <c r="M130" s="152"/>
      <c r="N130" s="152"/>
      <c r="O130" s="152"/>
      <c r="P130" s="152"/>
      <c r="Q130" s="152"/>
      <c r="R130" s="152"/>
    </row>
    <row r="131" spans="1:18" ht="38.25">
      <c r="A131" s="280" t="str">
        <f t="shared" si="8"/>
        <v>dv2302 Bílá káva ultra mat</v>
      </c>
      <c r="B131" s="238">
        <v>5</v>
      </c>
      <c r="C131" s="48"/>
      <c r="D131" s="41" t="s">
        <v>900</v>
      </c>
      <c r="E131" s="202" t="s">
        <v>901</v>
      </c>
      <c r="F131" s="204"/>
      <c r="G131" s="203"/>
      <c r="I131" t="str">
        <f>IF(INDEX(tvar_komplet,Objednávka!$BC$16,2)="x",zadani!A131,"")</f>
        <v>dv2302 Bílá káva ultra mat</v>
      </c>
      <c r="M131" s="152"/>
      <c r="N131" s="152"/>
      <c r="O131" s="152"/>
      <c r="P131" s="152"/>
      <c r="Q131" s="152"/>
      <c r="R131" s="152"/>
    </row>
    <row r="132" spans="1:18" ht="38.25">
      <c r="A132" s="280" t="str">
        <f t="shared" si="8"/>
        <v>dv2304 Světle šedá ultra mat</v>
      </c>
      <c r="B132" s="238">
        <v>5</v>
      </c>
      <c r="C132" s="48"/>
      <c r="D132" s="41" t="s">
        <v>902</v>
      </c>
      <c r="E132" s="202" t="s">
        <v>903</v>
      </c>
      <c r="F132" s="204"/>
      <c r="G132" s="203"/>
      <c r="I132" t="str">
        <f>IF(INDEX(tvar_komplet,Objednávka!$BC$16,2)="x",zadani!A132,"")</f>
        <v>dv2304 Světle šedá ultra mat</v>
      </c>
      <c r="M132" s="152"/>
      <c r="N132" s="152"/>
      <c r="O132" s="152"/>
      <c r="P132" s="152"/>
      <c r="Q132" s="152"/>
      <c r="R132" s="152"/>
    </row>
    <row r="133" spans="1:18" ht="51">
      <c r="A133" s="280" t="str">
        <f>CONCATENATE(D133," ",E133)</f>
        <v>dv2301 Sněhově bílá super mat              </v>
      </c>
      <c r="B133" s="238">
        <v>5</v>
      </c>
      <c r="C133" s="48"/>
      <c r="D133" s="41" t="s">
        <v>904</v>
      </c>
      <c r="E133" s="202" t="s">
        <v>905</v>
      </c>
      <c r="F133" s="204"/>
      <c r="G133" s="203"/>
      <c r="I133" t="str">
        <f>IF(INDEX(tvar_komplet,Objednávka!$BC$16,2)="x",zadani!A133,"")</f>
        <v>dv2301 Sněhově bílá super mat              </v>
      </c>
      <c r="M133" s="152"/>
      <c r="N133" s="152"/>
      <c r="O133" s="152"/>
      <c r="P133" s="152"/>
      <c r="Q133" s="152"/>
      <c r="R133" s="152"/>
    </row>
    <row r="134" spans="1:18" ht="38.25">
      <c r="A134" s="280" t="str">
        <f>CONCATENATE(D134," ",E134)</f>
        <v>dv2305 Grafit super mat</v>
      </c>
      <c r="B134" s="238">
        <v>5</v>
      </c>
      <c r="C134" s="48"/>
      <c r="D134" s="41" t="s">
        <v>906</v>
      </c>
      <c r="E134" s="202" t="s">
        <v>907</v>
      </c>
      <c r="F134" s="204"/>
      <c r="G134" s="203"/>
      <c r="I134" t="str">
        <f>IF(INDEX(tvar_komplet,Objednávka!$BC$16,2)="x",zadani!A134,"")</f>
        <v>dv2305 Grafit super mat</v>
      </c>
      <c r="M134" s="152"/>
      <c r="N134" s="152"/>
      <c r="O134" s="152"/>
      <c r="P134" s="152"/>
      <c r="Q134" s="152"/>
      <c r="R134" s="152"/>
    </row>
    <row r="135" spans="1:18" ht="13.5" customHeight="1">
      <c r="A135" s="280" t="str">
        <f>CONCATENATE(D135," ",E135)</f>
        <v>gr2001 Satin bílý supermat</v>
      </c>
      <c r="B135" s="238">
        <v>5</v>
      </c>
      <c r="C135" s="48"/>
      <c r="D135" s="41" t="s">
        <v>908</v>
      </c>
      <c r="E135" s="202" t="s">
        <v>909</v>
      </c>
      <c r="F135" s="204"/>
      <c r="G135" s="203"/>
      <c r="I135" t="str">
        <f>IF(INDEX(tvar_komplet,Objednávka!$BC$16,2)="x",zadani!A135,"")</f>
        <v>gr2001 Satin bílý supermat</v>
      </c>
      <c r="M135" s="152"/>
      <c r="N135" s="152"/>
      <c r="O135" s="152"/>
      <c r="P135" s="152"/>
      <c r="Q135" s="152"/>
      <c r="R135" s="152"/>
    </row>
    <row r="136" spans="1:18" ht="13.5" customHeight="1">
      <c r="A136" s="280" t="str">
        <f>CONCATENATE(D136," ",E136)</f>
        <v>dv2303 Bílá ultra mat</v>
      </c>
      <c r="B136" s="238">
        <v>5</v>
      </c>
      <c r="C136" s="48"/>
      <c r="D136" s="41" t="s">
        <v>910</v>
      </c>
      <c r="E136" s="202" t="s">
        <v>911</v>
      </c>
      <c r="F136" s="204"/>
      <c r="G136" s="203"/>
      <c r="I136" t="str">
        <f>IF(INDEX(tvar_komplet,Objednávka!$BC$16,2)="x",zadani!A136,"")</f>
        <v>dv2303 Bílá ultra mat</v>
      </c>
      <c r="M136" s="152"/>
      <c r="N136" s="152"/>
      <c r="O136" s="152"/>
      <c r="P136" s="152"/>
      <c r="Q136" s="152"/>
      <c r="R136" s="152"/>
    </row>
    <row r="137" spans="1:18" ht="13.5" customHeight="1">
      <c r="A137" s="280" t="str">
        <f t="shared" si="8"/>
        <v> </v>
      </c>
      <c r="B137" s="238">
        <v>5</v>
      </c>
      <c r="C137" s="48"/>
      <c r="E137" s="202"/>
      <c r="F137" s="204"/>
      <c r="G137" s="203"/>
      <c r="I137" t="str">
        <f>IF(INDEX(tvar_komplet,Objednávka!$BC$16,2)="x",zadani!A137,"")</f>
        <v> </v>
      </c>
      <c r="M137" s="152"/>
      <c r="N137" s="152"/>
      <c r="O137" s="152"/>
      <c r="P137" s="152"/>
      <c r="Q137" s="152"/>
      <c r="R137" s="152"/>
    </row>
    <row r="138" spans="1:18" ht="13.5" customHeight="1">
      <c r="A138" s="42" t="s">
        <v>743</v>
      </c>
      <c r="B138" s="47"/>
      <c r="C138" s="48"/>
      <c r="E138" s="202"/>
      <c r="F138" s="204"/>
      <c r="G138" s="203"/>
      <c r="I138" s="285" t="str">
        <f>IF(INDEX(tvar_komplet,Objednávka!$BC$16,2)="x",zadani!A138,"")</f>
        <v>                      vysoký lesk skupina 6</v>
      </c>
      <c r="M138" s="152"/>
      <c r="N138" s="152"/>
      <c r="O138" s="152"/>
      <c r="P138" s="152"/>
      <c r="Q138" s="152"/>
      <c r="R138" s="152"/>
    </row>
    <row r="139" spans="1:18" ht="38.25">
      <c r="A139" s="280" t="str">
        <f>CONCATENATE(D139," ",E139)</f>
        <v>3120 Bordó vysoký lesk</v>
      </c>
      <c r="B139" s="47">
        <v>6</v>
      </c>
      <c r="C139" s="48"/>
      <c r="D139" s="41" t="s">
        <v>638</v>
      </c>
      <c r="E139" s="202" t="s">
        <v>582</v>
      </c>
      <c r="F139" s="204"/>
      <c r="G139" s="204"/>
      <c r="I139" t="str">
        <f>IF(INDEX(tvar_komplet,Objednávka!$BC$16,2)="x",zadani!A139,"")</f>
        <v>3120 Bordó vysoký lesk</v>
      </c>
      <c r="M139" s="152"/>
      <c r="N139" s="152"/>
      <c r="O139" s="152"/>
      <c r="P139" s="152"/>
      <c r="Q139" s="152"/>
      <c r="R139" s="152"/>
    </row>
    <row r="140" spans="1:18" ht="51">
      <c r="A140" s="280" t="str">
        <f>CONCATENATE(D140," ",E140)</f>
        <v>7079001 Jasmín vysoký lesk</v>
      </c>
      <c r="B140" s="47">
        <v>6</v>
      </c>
      <c r="C140" s="48"/>
      <c r="D140" s="41" t="s">
        <v>745</v>
      </c>
      <c r="E140" s="202" t="s">
        <v>581</v>
      </c>
      <c r="F140" s="204"/>
      <c r="G140" s="204"/>
      <c r="I140" t="str">
        <f>IF(INDEX(tvar_komplet,Objednávka!$BC$16,2)="x",zadani!A140,"")</f>
        <v>7079001 Jasmín vysoký lesk</v>
      </c>
      <c r="M140" s="152"/>
      <c r="N140" s="152"/>
      <c r="O140" s="152"/>
      <c r="P140" s="152"/>
      <c r="Q140" s="152"/>
      <c r="R140" s="152"/>
    </row>
    <row r="141" spans="1:18" ht="38.25">
      <c r="A141" s="280" t="str">
        <f>CONCATENATE(D141," ",E141)</f>
        <v>9700 Bílá vysoký lesk PET</v>
      </c>
      <c r="B141" s="47">
        <v>6</v>
      </c>
      <c r="C141" s="48"/>
      <c r="D141" s="41" t="s">
        <v>639</v>
      </c>
      <c r="E141" s="202" t="s">
        <v>577</v>
      </c>
      <c r="F141" s="204"/>
      <c r="G141" s="204"/>
      <c r="I141" t="str">
        <f>IF(INDEX(tvar_komplet,Objednávka!$BC$16,2)="x",zadani!A141,"")</f>
        <v>9700 Bílá vysoký lesk PET</v>
      </c>
      <c r="M141" s="152"/>
      <c r="N141" s="152"/>
      <c r="O141" s="152"/>
      <c r="P141" s="152"/>
      <c r="Q141" s="152"/>
      <c r="R141" s="152"/>
    </row>
    <row r="142" spans="1:18" ht="51">
      <c r="A142" s="280" t="str">
        <f>CONCATENATE(D142," ",E142)</f>
        <v>BL3001 Červená vysoký lesk</v>
      </c>
      <c r="B142" s="47">
        <v>6</v>
      </c>
      <c r="C142" s="48"/>
      <c r="D142" s="41" t="s">
        <v>646</v>
      </c>
      <c r="E142" s="202" t="s">
        <v>591</v>
      </c>
      <c r="F142" s="204"/>
      <c r="G142" s="204"/>
      <c r="I142" t="str">
        <f>IF(INDEX(tvar_komplet,Objednávka!$BC$16,2)="x",zadani!A142,"")</f>
        <v>BL3001 Červená vysoký lesk</v>
      </c>
      <c r="M142" s="152"/>
      <c r="N142" s="152"/>
      <c r="O142" s="152"/>
      <c r="P142" s="152"/>
      <c r="Q142" s="152"/>
      <c r="R142" s="152"/>
    </row>
    <row r="143" spans="1:18" ht="25.5">
      <c r="A143" s="280" t="str">
        <f aca="true" t="shared" si="9" ref="A143:A149">CONCATENATE(D143," ",E143)</f>
        <v>dv0035 Vanilla lesk </v>
      </c>
      <c r="B143" s="47">
        <v>6</v>
      </c>
      <c r="C143" s="48"/>
      <c r="D143" s="41" t="s">
        <v>579</v>
      </c>
      <c r="E143" s="202" t="s">
        <v>704</v>
      </c>
      <c r="F143" s="204"/>
      <c r="G143" s="204"/>
      <c r="I143" t="str">
        <f>IF(INDEX(tvar_komplet,Objednávka!$BC$16,2)="x",zadani!A143,"")</f>
        <v>dv0035 Vanilla lesk </v>
      </c>
      <c r="M143" s="152"/>
      <c r="N143" s="152"/>
      <c r="O143" s="152"/>
      <c r="P143" s="152"/>
      <c r="Q143" s="152"/>
      <c r="R143" s="152"/>
    </row>
    <row r="144" spans="1:18" ht="25.5">
      <c r="A144" s="280" t="str">
        <f t="shared" si="9"/>
        <v>dv1925 Šedá lesk</v>
      </c>
      <c r="B144" s="47">
        <v>6</v>
      </c>
      <c r="C144" s="48"/>
      <c r="D144" s="41" t="s">
        <v>642</v>
      </c>
      <c r="E144" s="202" t="s">
        <v>747</v>
      </c>
      <c r="F144" s="204"/>
      <c r="G144" s="204"/>
      <c r="I144" t="str">
        <f>IF(INDEX(tvar_komplet,Objednávka!$BC$16,2)="x",zadani!A144,"")</f>
        <v>dv1925 Šedá lesk</v>
      </c>
      <c r="M144" s="152"/>
      <c r="N144" s="152"/>
      <c r="O144" s="152"/>
      <c r="P144" s="152"/>
      <c r="Q144" s="152"/>
      <c r="R144" s="152"/>
    </row>
    <row r="145" spans="1:18" ht="38.25">
      <c r="A145" s="280" t="str">
        <f t="shared" si="9"/>
        <v>dv1929 Fialová lesk</v>
      </c>
      <c r="B145" s="47">
        <v>6</v>
      </c>
      <c r="C145" s="48"/>
      <c r="D145" s="41" t="s">
        <v>648</v>
      </c>
      <c r="E145" s="202" t="s">
        <v>748</v>
      </c>
      <c r="F145" s="204"/>
      <c r="G145" s="204"/>
      <c r="I145" t="str">
        <f>IF(INDEX(tvar_komplet,Objednávka!$BC$16,2)="x",zadani!A145,"")</f>
        <v>dv1929 Fialová lesk</v>
      </c>
      <c r="M145" s="152"/>
      <c r="N145" s="152"/>
      <c r="O145" s="152"/>
      <c r="P145" s="152"/>
      <c r="Q145" s="152"/>
      <c r="R145" s="152"/>
    </row>
    <row r="146" spans="1:18" ht="51">
      <c r="A146" s="280" t="str">
        <f t="shared" si="9"/>
        <v>dv2010 Světle šedá vysoký lesk</v>
      </c>
      <c r="B146" s="47">
        <v>6</v>
      </c>
      <c r="C146" s="48"/>
      <c r="D146" s="41" t="s">
        <v>644</v>
      </c>
      <c r="E146" s="202" t="s">
        <v>746</v>
      </c>
      <c r="F146" s="204"/>
      <c r="G146" s="204"/>
      <c r="I146" t="str">
        <f>IF(INDEX(tvar_komplet,Objednávka!$BC$16,2)="x",zadani!A146,"")</f>
        <v>dv2010 Světle šedá vysoký lesk</v>
      </c>
      <c r="M146" s="152"/>
      <c r="N146" s="152"/>
      <c r="O146" s="152"/>
      <c r="P146" s="152"/>
      <c r="Q146" s="152"/>
      <c r="R146" s="152"/>
    </row>
    <row r="147" spans="1:18" ht="51">
      <c r="A147" s="280" t="str">
        <f t="shared" si="9"/>
        <v>dv2107 Magnolie vysoký lesk</v>
      </c>
      <c r="B147" s="47">
        <v>6</v>
      </c>
      <c r="C147" s="48"/>
      <c r="D147" s="41" t="s">
        <v>705</v>
      </c>
      <c r="E147" s="202" t="s">
        <v>749</v>
      </c>
      <c r="F147" s="204"/>
      <c r="G147" s="204"/>
      <c r="I147" t="str">
        <f>IF(INDEX(tvar_komplet,Objednávka!$BC$16,2)="x",zadani!A147,"")</f>
        <v>dv2107 Magnolie vysoký lesk</v>
      </c>
      <c r="M147" s="152"/>
      <c r="N147" s="152"/>
      <c r="O147" s="152"/>
      <c r="P147" s="152"/>
      <c r="Q147" s="152"/>
      <c r="R147" s="152"/>
    </row>
    <row r="148" spans="1:18" ht="38.25">
      <c r="A148" s="280" t="str">
        <f>CONCATENATE(D148," ",E148)</f>
        <v>dv2108 Antracit vys. lesk</v>
      </c>
      <c r="B148" s="47">
        <v>6</v>
      </c>
      <c r="C148" s="48"/>
      <c r="D148" s="41" t="s">
        <v>706</v>
      </c>
      <c r="E148" s="202" t="s">
        <v>750</v>
      </c>
      <c r="F148" s="204"/>
      <c r="G148" s="204"/>
      <c r="I148" t="str">
        <f>IF(INDEX(tvar_komplet,Objednávka!$BC$16,2)="x",zadani!A148,"")</f>
        <v>dv2108 Antracit vys. lesk</v>
      </c>
      <c r="M148" s="152"/>
      <c r="N148" s="152"/>
      <c r="O148" s="152"/>
      <c r="P148" s="152"/>
      <c r="Q148" s="152"/>
      <c r="R148" s="152"/>
    </row>
    <row r="149" spans="1:18" ht="38.25">
      <c r="A149" s="280" t="str">
        <f t="shared" si="9"/>
        <v>gr2056 lesklá červená</v>
      </c>
      <c r="B149" s="47">
        <v>6</v>
      </c>
      <c r="C149" s="48"/>
      <c r="D149" s="41" t="s">
        <v>912</v>
      </c>
      <c r="E149" s="202" t="s">
        <v>913</v>
      </c>
      <c r="F149" s="204"/>
      <c r="G149" s="204"/>
      <c r="I149" t="str">
        <f>IF(INDEX(tvar_komplet,Objednávka!$BC$16,2)="x",zadani!A149,"")</f>
        <v>gr2056 lesklá červená</v>
      </c>
      <c r="M149" s="152"/>
      <c r="N149" s="152"/>
      <c r="O149" s="152"/>
      <c r="P149" s="152"/>
      <c r="Q149" s="152"/>
      <c r="R149" s="152"/>
    </row>
    <row r="150" spans="1:18" ht="12.75">
      <c r="A150" s="50"/>
      <c r="B150" s="47"/>
      <c r="C150" s="48"/>
      <c r="E150" s="47"/>
      <c r="F150" s="47"/>
      <c r="G150" s="47"/>
      <c r="M150" s="152"/>
      <c r="N150" s="152"/>
      <c r="O150" s="152"/>
      <c r="P150" s="152"/>
      <c r="Q150" s="152"/>
      <c r="R150" s="152"/>
    </row>
    <row r="151" spans="1:18" ht="12.75">
      <c r="A151" s="42" t="s">
        <v>744</v>
      </c>
      <c r="B151" s="47"/>
      <c r="C151" s="48"/>
      <c r="E151" s="47"/>
      <c r="F151" s="47"/>
      <c r="G151" s="47"/>
      <c r="I151" t="str">
        <f>IF(INDEX(tvar_komplet,Objednávka!$BC$16,2)="x",zadani!A151,"")</f>
        <v>                      vysoký lesk výběrové skupina 7</v>
      </c>
      <c r="M151" s="152"/>
      <c r="N151" s="152"/>
      <c r="O151" s="152"/>
      <c r="P151" s="152"/>
      <c r="Q151" s="152"/>
      <c r="R151" s="152"/>
    </row>
    <row r="152" spans="1:18" ht="51">
      <c r="A152" s="280" t="str">
        <f aca="true" t="shared" si="10" ref="A152:A161">CONCATENATE(D152," ",E152)</f>
        <v>133A Béžová vysoký lesk PET</v>
      </c>
      <c r="B152" s="47">
        <v>7</v>
      </c>
      <c r="D152" s="41" t="s">
        <v>707</v>
      </c>
      <c r="E152" s="47" t="s">
        <v>751</v>
      </c>
      <c r="F152" s="47"/>
      <c r="G152" s="47"/>
      <c r="I152" t="str">
        <f>IF(INDEX(tvar_komplet,Objednávka!$BC$16,2)="x",zadani!A152,"")</f>
        <v>133A Béžová vysoký lesk PET</v>
      </c>
      <c r="M152" s="152"/>
      <c r="N152" s="152"/>
      <c r="O152" s="152"/>
      <c r="P152" s="152"/>
      <c r="Q152" s="152"/>
      <c r="R152" s="152"/>
    </row>
    <row r="153" spans="1:18" ht="51">
      <c r="A153" s="280" t="str">
        <f t="shared" si="10"/>
        <v>20SV Švestka vysoký lesk</v>
      </c>
      <c r="B153" s="47">
        <f aca="true" t="shared" si="11" ref="B153:B159">B152</f>
        <v>7</v>
      </c>
      <c r="C153" s="41"/>
      <c r="D153" s="47" t="s">
        <v>708</v>
      </c>
      <c r="E153" s="47" t="s">
        <v>584</v>
      </c>
      <c r="F153" s="189"/>
      <c r="G153" s="47"/>
      <c r="I153" t="str">
        <f>IF(INDEX(tvar_komplet,Objednávka!$BC$16,2)="x",zadani!A153,"")</f>
        <v>20SV Švestka vysoký lesk</v>
      </c>
      <c r="M153" s="152"/>
      <c r="N153" s="152"/>
      <c r="O153" s="152"/>
      <c r="P153" s="152"/>
      <c r="Q153" s="152"/>
      <c r="R153" s="152"/>
    </row>
    <row r="154" spans="1:18" ht="51">
      <c r="A154" s="280" t="str">
        <f t="shared" si="10"/>
        <v>20ZE Zebráno vysoký lesk</v>
      </c>
      <c r="B154" s="47">
        <f t="shared" si="11"/>
        <v>7</v>
      </c>
      <c r="C154" s="41"/>
      <c r="D154" s="47" t="s">
        <v>709</v>
      </c>
      <c r="E154" s="47" t="s">
        <v>586</v>
      </c>
      <c r="F154" s="189"/>
      <c r="G154" s="47"/>
      <c r="I154" t="str">
        <f>IF(INDEX(tvar_komplet,Objednávka!$BC$16,2)="x",zadani!A154,"")</f>
        <v>20ZE Zebráno vysoký lesk</v>
      </c>
      <c r="M154" s="152"/>
      <c r="N154" s="152"/>
      <c r="O154" s="152"/>
      <c r="P154" s="152"/>
      <c r="Q154" s="152"/>
      <c r="R154" s="152"/>
    </row>
    <row r="155" spans="1:18" ht="38.25">
      <c r="A155" s="280" t="str">
        <f t="shared" si="10"/>
        <v>2800 Černá vysoký lesk PET</v>
      </c>
      <c r="B155" s="47">
        <f t="shared" si="11"/>
        <v>7</v>
      </c>
      <c r="D155" s="47" t="s">
        <v>754</v>
      </c>
      <c r="E155" s="47" t="s">
        <v>593</v>
      </c>
      <c r="F155" s="189"/>
      <c r="G155" s="47"/>
      <c r="I155" t="str">
        <f>IF(INDEX(tvar_komplet,Objednávka!$BC$16,2)="x",zadani!A155,"")</f>
        <v>2800 Černá vysoký lesk PET</v>
      </c>
      <c r="M155" s="152"/>
      <c r="N155" s="152"/>
      <c r="O155" s="152"/>
      <c r="P155" s="152"/>
      <c r="Q155" s="152"/>
      <c r="R155" s="152"/>
    </row>
    <row r="156" spans="1:18" ht="38.25">
      <c r="A156" s="280" t="str">
        <f t="shared" si="10"/>
        <v>2801 Moka vysoký lesk PET</v>
      </c>
      <c r="B156" s="47">
        <f t="shared" si="11"/>
        <v>7</v>
      </c>
      <c r="C156" s="47"/>
      <c r="D156" s="47" t="s">
        <v>752</v>
      </c>
      <c r="E156" s="47" t="s">
        <v>589</v>
      </c>
      <c r="F156" s="47"/>
      <c r="G156" s="47"/>
      <c r="I156" t="str">
        <f>IF(INDEX(tvar_komplet,Objednávka!$BC$16,2)="x",zadani!A156,"")</f>
        <v>2801 Moka vysoký lesk PET</v>
      </c>
      <c r="M156" s="152"/>
      <c r="N156" s="152"/>
      <c r="O156" s="152"/>
      <c r="P156" s="152"/>
      <c r="Q156" s="152"/>
      <c r="R156" s="152"/>
    </row>
    <row r="157" spans="1:18" ht="51">
      <c r="A157" s="280" t="str">
        <f t="shared" si="10"/>
        <v>4200 Ferrari vysoký lesk PET</v>
      </c>
      <c r="B157" s="47">
        <f t="shared" si="11"/>
        <v>7</v>
      </c>
      <c r="C157" s="47"/>
      <c r="D157" s="47" t="s">
        <v>753</v>
      </c>
      <c r="E157" s="47" t="s">
        <v>294</v>
      </c>
      <c r="F157" s="47"/>
      <c r="G157" s="47"/>
      <c r="I157" t="str">
        <f>IF(INDEX(tvar_komplet,Objednávka!$BC$16,2)="x",zadani!A157,"")</f>
        <v>4200 Ferrari vysoký lesk PET</v>
      </c>
      <c r="M157" s="152"/>
      <c r="N157" s="152"/>
      <c r="O157" s="152"/>
      <c r="P157" s="152"/>
      <c r="Q157" s="152"/>
      <c r="R157" s="152"/>
    </row>
    <row r="158" spans="1:18" ht="51">
      <c r="A158" s="280" t="str">
        <f t="shared" si="10"/>
        <v>6400 Capuccino vys. Lesk PET</v>
      </c>
      <c r="B158" s="47">
        <f t="shared" si="11"/>
        <v>7</v>
      </c>
      <c r="C158" s="47"/>
      <c r="D158" s="47" t="s">
        <v>755</v>
      </c>
      <c r="E158" s="47" t="s">
        <v>756</v>
      </c>
      <c r="F158" s="189"/>
      <c r="G158" s="47"/>
      <c r="I158" t="str">
        <f>IF(INDEX(tvar_komplet,Objednávka!$BC$16,2)="x",zadani!A158,"")</f>
        <v>6400 Capuccino vys. Lesk PET</v>
      </c>
      <c r="M158" s="152"/>
      <c r="N158" s="152"/>
      <c r="O158" s="152"/>
      <c r="P158" s="152"/>
      <c r="Q158" s="152"/>
      <c r="R158" s="152"/>
    </row>
    <row r="159" spans="1:18" ht="25.5">
      <c r="A159" s="280" t="str">
        <f t="shared" si="10"/>
        <v>dv1801 Bílá s linkou</v>
      </c>
      <c r="B159" s="47">
        <f t="shared" si="11"/>
        <v>7</v>
      </c>
      <c r="C159" s="47"/>
      <c r="D159" s="47" t="s">
        <v>710</v>
      </c>
      <c r="E159" s="47" t="s">
        <v>757</v>
      </c>
      <c r="F159" s="189"/>
      <c r="G159" s="47"/>
      <c r="I159" t="str">
        <f>IF(INDEX(tvar_komplet,Objednávka!$BC$16,2)="x",zadani!A159,"")</f>
        <v>dv1801 Bílá s linkou</v>
      </c>
      <c r="M159" s="152"/>
      <c r="N159" s="152"/>
      <c r="O159" s="152"/>
      <c r="P159" s="152"/>
      <c r="Q159" s="152"/>
      <c r="R159" s="152"/>
    </row>
    <row r="160" spans="1:18" ht="38.25">
      <c r="A160" s="280" t="str">
        <f>CONCATENATE(D160," ",E160)</f>
        <v>dv1802 Černá s linkou</v>
      </c>
      <c r="B160" s="47">
        <f>B158</f>
        <v>7</v>
      </c>
      <c r="C160" s="47"/>
      <c r="D160" s="47" t="s">
        <v>711</v>
      </c>
      <c r="E160" s="47" t="s">
        <v>758</v>
      </c>
      <c r="F160" s="189"/>
      <c r="G160" s="47"/>
      <c r="I160" t="str">
        <f>IF(INDEX(tvar_komplet,Objednávka!$BC$16,2)="x",zadani!A160,"")</f>
        <v>dv1802 Černá s linkou</v>
      </c>
      <c r="M160" s="152"/>
      <c r="N160" s="152"/>
      <c r="O160" s="152"/>
      <c r="P160" s="152"/>
      <c r="Q160" s="152"/>
      <c r="R160" s="152"/>
    </row>
    <row r="161" spans="1:18" ht="38.25">
      <c r="A161" s="280" t="str">
        <f t="shared" si="10"/>
        <v>gr2063 Lesklé Meranti</v>
      </c>
      <c r="B161" s="47">
        <f>B159</f>
        <v>7</v>
      </c>
      <c r="C161" s="47"/>
      <c r="D161" s="47" t="s">
        <v>914</v>
      </c>
      <c r="E161" s="47" t="s">
        <v>915</v>
      </c>
      <c r="F161" s="189"/>
      <c r="G161" s="47"/>
      <c r="I161" t="str">
        <f>IF(INDEX(tvar_komplet,Objednávka!$BC$16,2)="x",zadani!A161,"")</f>
        <v>gr2063 Lesklé Meranti</v>
      </c>
      <c r="M161" s="152"/>
      <c r="N161" s="152"/>
      <c r="O161" s="152"/>
      <c r="P161" s="152"/>
      <c r="Q161" s="152"/>
      <c r="R161" s="152"/>
    </row>
    <row r="162" spans="1:18" ht="12.75">
      <c r="A162" s="50"/>
      <c r="B162" s="47"/>
      <c r="C162" s="48"/>
      <c r="E162" s="47"/>
      <c r="F162" s="47"/>
      <c r="G162" s="47"/>
      <c r="I162">
        <f>IF(INDEX(tvar_komplet,Objednávka!$BC$16,2)="x",zadani!A162,"")</f>
        <v>0</v>
      </c>
      <c r="P162" s="152"/>
      <c r="Q162" s="152"/>
      <c r="R162" s="152"/>
    </row>
    <row r="163" spans="1:18" ht="12.75">
      <c r="A163" s="42" t="s">
        <v>416</v>
      </c>
      <c r="B163" s="47"/>
      <c r="C163" s="48"/>
      <c r="E163" s="47"/>
      <c r="F163" s="47"/>
      <c r="G163" s="47"/>
      <c r="I163" t="str">
        <f>IF(INDEX(tvar_komplet,Objednávka!$BC$16,2)="x",zadani!A163,"")</f>
        <v>                      surová MDF bez fólie</v>
      </c>
      <c r="P163" s="152"/>
      <c r="Q163" s="152"/>
      <c r="R163" s="152"/>
    </row>
    <row r="164" spans="1:18" ht="12.75">
      <c r="A164" s="50" t="s">
        <v>926</v>
      </c>
      <c r="B164" s="47">
        <v>10</v>
      </c>
      <c r="E164" s="47"/>
      <c r="F164" s="47"/>
      <c r="G164" s="47"/>
      <c r="I164" t="str">
        <f>A164</f>
        <v>jednostranně laminovaná MDF tl. 18 mm - hladké tvary</v>
      </c>
      <c r="P164" s="152"/>
      <c r="Q164" s="152"/>
      <c r="R164" s="152"/>
    </row>
    <row r="165" spans="1:18" ht="12.75">
      <c r="A165" s="50" t="s">
        <v>927</v>
      </c>
      <c r="B165" s="47">
        <v>11</v>
      </c>
      <c r="C165" s="41"/>
      <c r="D165" s="47"/>
      <c r="E165" s="47"/>
      <c r="F165" s="47"/>
      <c r="G165" s="47"/>
      <c r="I165" t="str">
        <f>A165</f>
        <v>jednostranně laminovaná MDF tl. 18 mm - ostatní tvary</v>
      </c>
      <c r="P165" s="152"/>
      <c r="Q165" s="152"/>
      <c r="R165" s="152"/>
    </row>
    <row r="166" spans="1:18" ht="12.75">
      <c r="A166" s="50" t="s">
        <v>928</v>
      </c>
      <c r="B166" s="47">
        <v>12</v>
      </c>
      <c r="C166" s="41"/>
      <c r="D166" s="47"/>
      <c r="E166" s="47"/>
      <c r="F166" s="47"/>
      <c r="G166" s="47"/>
      <c r="I166" t="str">
        <f>A166</f>
        <v>oboustranně laminovaná MDF tl. 18 mm - hladké tvary</v>
      </c>
      <c r="P166" s="152"/>
      <c r="Q166" s="152"/>
      <c r="R166" s="152"/>
    </row>
    <row r="167" spans="1:18" ht="12.75">
      <c r="A167" s="50" t="s">
        <v>929</v>
      </c>
      <c r="B167" s="47">
        <v>13</v>
      </c>
      <c r="C167" s="41"/>
      <c r="D167" s="47"/>
      <c r="E167" s="47"/>
      <c r="F167" s="47"/>
      <c r="G167" s="47"/>
      <c r="I167" t="str">
        <f>A167</f>
        <v>oboustranně laminovaná MDF tl. 18 mm - ostatní tvary</v>
      </c>
      <c r="P167" s="152"/>
      <c r="Q167" s="152"/>
      <c r="R167" s="152"/>
    </row>
    <row r="168" spans="1:18" ht="13.5">
      <c r="A168" s="50"/>
      <c r="B168" s="47"/>
      <c r="D168" s="47"/>
      <c r="E168" s="47"/>
      <c r="F168" s="189"/>
      <c r="G168" s="47"/>
      <c r="P168" s="152"/>
      <c r="Q168" s="152"/>
      <c r="R168" s="152"/>
    </row>
    <row r="169" spans="1:18" ht="13.5">
      <c r="A169" s="47"/>
      <c r="B169" s="47"/>
      <c r="C169" s="48"/>
      <c r="D169" s="47"/>
      <c r="E169" s="47"/>
      <c r="F169" s="189"/>
      <c r="G169" s="47"/>
      <c r="P169" s="152"/>
      <c r="Q169" s="152"/>
      <c r="R169" s="152"/>
    </row>
    <row r="170" spans="1:18" ht="13.5">
      <c r="A170" s="47"/>
      <c r="B170" s="47"/>
      <c r="C170" s="48"/>
      <c r="F170" s="189"/>
      <c r="P170" s="152"/>
      <c r="Q170" s="152"/>
      <c r="R170" s="152"/>
    </row>
    <row r="171" spans="1:18" ht="12.75">
      <c r="A171" s="42" t="s">
        <v>65</v>
      </c>
      <c r="B171" s="47"/>
      <c r="C171" s="48"/>
      <c r="P171" s="152"/>
      <c r="Q171" s="152"/>
      <c r="R171" s="152"/>
    </row>
    <row r="172" spans="1:18" ht="12.75">
      <c r="A172" s="51" t="s">
        <v>26</v>
      </c>
      <c r="B172" s="47"/>
      <c r="C172" s="48"/>
      <c r="P172" s="152"/>
      <c r="Q172" s="152"/>
      <c r="R172" s="152"/>
    </row>
    <row r="173" spans="1:18" ht="12.75">
      <c r="A173" s="41" t="s">
        <v>326</v>
      </c>
      <c r="B173" s="47"/>
      <c r="C173" s="48"/>
      <c r="P173" s="152"/>
      <c r="Q173" s="152"/>
      <c r="R173" s="152"/>
    </row>
    <row r="174" spans="1:18" ht="13.5">
      <c r="A174" s="48" t="s">
        <v>325</v>
      </c>
      <c r="D174" s="47"/>
      <c r="E174" s="47"/>
      <c r="F174" s="189"/>
      <c r="G174" s="47"/>
      <c r="P174" s="152"/>
      <c r="Q174" s="152"/>
      <c r="R174" s="152"/>
    </row>
    <row r="175" spans="1:18" ht="13.5">
      <c r="A175" s="48" t="s">
        <v>713</v>
      </c>
      <c r="D175" s="47"/>
      <c r="E175" s="47"/>
      <c r="F175" s="189"/>
      <c r="G175" s="47"/>
      <c r="P175" s="152"/>
      <c r="Q175" s="152"/>
      <c r="R175" s="152"/>
    </row>
    <row r="176" spans="1:18" ht="12.75">
      <c r="A176" s="40" t="s">
        <v>712</v>
      </c>
      <c r="P176" s="152"/>
      <c r="Q176" s="152"/>
      <c r="R176" s="152"/>
    </row>
    <row r="177" spans="1:18" ht="12.75">
      <c r="A177" s="47" t="s">
        <v>322</v>
      </c>
      <c r="B177" s="47"/>
      <c r="C177" s="48"/>
      <c r="P177" s="152"/>
      <c r="Q177" s="152"/>
      <c r="R177" s="152"/>
    </row>
    <row r="178" spans="1:18" ht="12.75">
      <c r="A178" s="48" t="s">
        <v>714</v>
      </c>
      <c r="P178" s="152"/>
      <c r="Q178" s="152"/>
      <c r="R178" s="152"/>
    </row>
    <row r="179" spans="1:18" ht="12.75">
      <c r="A179" s="40" t="s">
        <v>319</v>
      </c>
      <c r="P179" s="152"/>
      <c r="Q179" s="152"/>
      <c r="R179" s="152"/>
    </row>
    <row r="180" spans="2:18" ht="25.5">
      <c r="B180" s="52" t="s">
        <v>107</v>
      </c>
      <c r="C180" s="52" t="s">
        <v>108</v>
      </c>
      <c r="D180" s="52" t="s">
        <v>109</v>
      </c>
      <c r="E180" s="52" t="s">
        <v>110</v>
      </c>
      <c r="F180" s="52" t="s">
        <v>111</v>
      </c>
      <c r="G180" s="52" t="s">
        <v>112</v>
      </c>
      <c r="H180" s="53" t="s">
        <v>113</v>
      </c>
      <c r="I180" s="123" t="s">
        <v>257</v>
      </c>
      <c r="P180" s="152"/>
      <c r="Q180" s="152"/>
      <c r="R180" s="152"/>
    </row>
    <row r="181" spans="1:18" ht="12.75">
      <c r="A181" s="42" t="s">
        <v>114</v>
      </c>
      <c r="B181" s="54" t="s">
        <v>115</v>
      </c>
      <c r="C181" s="55"/>
      <c r="D181" s="55"/>
      <c r="E181" s="55"/>
      <c r="F181" s="55"/>
      <c r="G181" s="55"/>
      <c r="H181" s="56" t="s">
        <v>116</v>
      </c>
      <c r="P181" s="152"/>
      <c r="Q181" s="152"/>
      <c r="R181" s="152"/>
    </row>
    <row r="182" spans="1:18" ht="12.75">
      <c r="A182" s="57" t="s">
        <v>25</v>
      </c>
      <c r="B182" s="58" t="s">
        <v>117</v>
      </c>
      <c r="C182" s="58" t="s">
        <v>117</v>
      </c>
      <c r="D182" s="58" t="s">
        <v>117</v>
      </c>
      <c r="E182" s="58" t="s">
        <v>117</v>
      </c>
      <c r="F182" s="58" t="s">
        <v>117</v>
      </c>
      <c r="G182" s="58"/>
      <c r="H182" s="49">
        <f>63-3</f>
        <v>60</v>
      </c>
      <c r="P182" s="152"/>
      <c r="Q182" s="152"/>
      <c r="R182" s="152"/>
    </row>
    <row r="183" spans="1:18" ht="12.75">
      <c r="A183" s="57" t="s">
        <v>118</v>
      </c>
      <c r="B183" s="58" t="s">
        <v>117</v>
      </c>
      <c r="C183" s="58" t="s">
        <v>117</v>
      </c>
      <c r="D183" s="58" t="s">
        <v>117</v>
      </c>
      <c r="E183" s="58" t="s">
        <v>117</v>
      </c>
      <c r="F183" s="58" t="s">
        <v>117</v>
      </c>
      <c r="G183" s="58"/>
      <c r="H183" s="49">
        <f>63-3</f>
        <v>60</v>
      </c>
      <c r="P183" s="152"/>
      <c r="Q183" s="152"/>
      <c r="R183" s="152"/>
    </row>
    <row r="184" spans="1:18" ht="12.75">
      <c r="A184" s="57" t="s">
        <v>119</v>
      </c>
      <c r="B184" s="58" t="s">
        <v>117</v>
      </c>
      <c r="C184" s="58" t="s">
        <v>117</v>
      </c>
      <c r="D184" s="58" t="s">
        <v>117</v>
      </c>
      <c r="E184" s="58" t="s">
        <v>117</v>
      </c>
      <c r="F184" s="58" t="s">
        <v>117</v>
      </c>
      <c r="G184" s="58"/>
      <c r="H184" s="49">
        <f>63-3</f>
        <v>60</v>
      </c>
      <c r="K184" s="70"/>
      <c r="P184" s="152"/>
      <c r="Q184" s="152"/>
      <c r="R184" s="152"/>
    </row>
    <row r="185" spans="1:18" ht="12.75">
      <c r="A185" s="57" t="s">
        <v>120</v>
      </c>
      <c r="B185" s="58"/>
      <c r="C185" s="58"/>
      <c r="D185" s="58" t="s">
        <v>117</v>
      </c>
      <c r="E185" s="58" t="s">
        <v>117</v>
      </c>
      <c r="F185" s="58" t="s">
        <v>117</v>
      </c>
      <c r="G185" s="58"/>
      <c r="H185" s="49">
        <f>70-3</f>
        <v>67</v>
      </c>
      <c r="K185" s="63"/>
      <c r="P185" s="152"/>
      <c r="Q185" s="152"/>
      <c r="R185" s="152"/>
    </row>
    <row r="186" spans="1:18" ht="12.75">
      <c r="A186" s="57" t="s">
        <v>121</v>
      </c>
      <c r="B186" s="58"/>
      <c r="C186" s="58"/>
      <c r="D186" s="58" t="s">
        <v>117</v>
      </c>
      <c r="E186" s="58" t="s">
        <v>117</v>
      </c>
      <c r="F186" s="58" t="s">
        <v>117</v>
      </c>
      <c r="G186" s="58" t="s">
        <v>117</v>
      </c>
      <c r="H186" s="49">
        <f>76-3</f>
        <v>73</v>
      </c>
      <c r="K186" s="63"/>
      <c r="P186" s="152"/>
      <c r="Q186" s="152"/>
      <c r="R186" s="152"/>
    </row>
    <row r="187" spans="1:11" ht="12.75">
      <c r="A187" s="57" t="s">
        <v>122</v>
      </c>
      <c r="B187" s="58"/>
      <c r="C187" s="58"/>
      <c r="D187" s="58" t="s">
        <v>117</v>
      </c>
      <c r="E187" s="58" t="s">
        <v>117</v>
      </c>
      <c r="F187" s="58" t="s">
        <v>117</v>
      </c>
      <c r="G187" s="58" t="s">
        <v>117</v>
      </c>
      <c r="H187" s="49">
        <f aca="true" t="shared" si="12" ref="H187:H192">63-3</f>
        <v>60</v>
      </c>
      <c r="K187" s="63"/>
    </row>
    <row r="188" spans="1:11" ht="12.75">
      <c r="A188" s="57" t="s">
        <v>123</v>
      </c>
      <c r="B188" s="58" t="s">
        <v>117</v>
      </c>
      <c r="C188" s="58" t="s">
        <v>117</v>
      </c>
      <c r="D188" s="58" t="s">
        <v>117</v>
      </c>
      <c r="E188" s="58" t="s">
        <v>117</v>
      </c>
      <c r="F188" s="58" t="s">
        <v>117</v>
      </c>
      <c r="G188" s="58"/>
      <c r="H188" s="49">
        <f t="shared" si="12"/>
        <v>60</v>
      </c>
      <c r="K188" s="63"/>
    </row>
    <row r="189" spans="1:11" ht="12.75">
      <c r="A189" s="57" t="s">
        <v>124</v>
      </c>
      <c r="B189" s="58" t="s">
        <v>117</v>
      </c>
      <c r="C189" s="58" t="s">
        <v>117</v>
      </c>
      <c r="D189" s="58" t="s">
        <v>117</v>
      </c>
      <c r="E189" s="58" t="s">
        <v>117</v>
      </c>
      <c r="F189" s="58" t="s">
        <v>117</v>
      </c>
      <c r="G189" s="58"/>
      <c r="H189" s="49">
        <f t="shared" si="12"/>
        <v>60</v>
      </c>
      <c r="K189" s="63"/>
    </row>
    <row r="190" spans="1:11" ht="12.75">
      <c r="A190" s="57" t="s">
        <v>125</v>
      </c>
      <c r="B190" s="58" t="s">
        <v>117</v>
      </c>
      <c r="C190" s="58" t="s">
        <v>117</v>
      </c>
      <c r="D190" s="58" t="s">
        <v>117</v>
      </c>
      <c r="E190" s="58" t="s">
        <v>117</v>
      </c>
      <c r="F190" s="58" t="s">
        <v>117</v>
      </c>
      <c r="G190" s="58"/>
      <c r="H190" s="49">
        <f t="shared" si="12"/>
        <v>60</v>
      </c>
      <c r="K190" s="63"/>
    </row>
    <row r="191" spans="1:11" ht="12.75">
      <c r="A191" s="57" t="s">
        <v>126</v>
      </c>
      <c r="B191" s="58" t="s">
        <v>117</v>
      </c>
      <c r="C191" s="58" t="s">
        <v>117</v>
      </c>
      <c r="D191" s="58" t="s">
        <v>117</v>
      </c>
      <c r="E191" s="58" t="s">
        <v>117</v>
      </c>
      <c r="F191" s="58" t="s">
        <v>117</v>
      </c>
      <c r="G191" s="58"/>
      <c r="H191" s="49">
        <f t="shared" si="12"/>
        <v>60</v>
      </c>
      <c r="K191" s="63"/>
    </row>
    <row r="192" spans="1:11" ht="12.75">
      <c r="A192" s="57" t="s">
        <v>127</v>
      </c>
      <c r="B192" s="58" t="s">
        <v>117</v>
      </c>
      <c r="C192" s="58" t="s">
        <v>117</v>
      </c>
      <c r="D192" s="58" t="s">
        <v>117</v>
      </c>
      <c r="E192" s="58" t="s">
        <v>117</v>
      </c>
      <c r="F192" s="58" t="s">
        <v>117</v>
      </c>
      <c r="G192" s="58"/>
      <c r="H192" s="49">
        <f t="shared" si="12"/>
        <v>60</v>
      </c>
      <c r="K192" s="63"/>
    </row>
    <row r="193" spans="1:11" ht="12.75">
      <c r="A193" s="57" t="s">
        <v>128</v>
      </c>
      <c r="B193" s="58"/>
      <c r="C193" s="58"/>
      <c r="D193" s="58" t="s">
        <v>117</v>
      </c>
      <c r="E193" s="58" t="s">
        <v>117</v>
      </c>
      <c r="F193" s="58" t="s">
        <v>117</v>
      </c>
      <c r="G193" s="58"/>
      <c r="H193" s="49">
        <f>91-3</f>
        <v>88</v>
      </c>
      <c r="K193" s="63"/>
    </row>
    <row r="194" spans="1:11" ht="12.75">
      <c r="A194" s="57" t="s">
        <v>129</v>
      </c>
      <c r="B194" s="58"/>
      <c r="C194" s="58"/>
      <c r="D194" s="58" t="s">
        <v>117</v>
      </c>
      <c r="E194" s="58" t="s">
        <v>117</v>
      </c>
      <c r="F194" s="58" t="s">
        <v>117</v>
      </c>
      <c r="G194" s="58" t="s">
        <v>117</v>
      </c>
      <c r="H194" s="49">
        <f>73-3</f>
        <v>70</v>
      </c>
      <c r="K194" s="63"/>
    </row>
    <row r="195" spans="1:11" ht="12.75">
      <c r="A195" s="57" t="s">
        <v>130</v>
      </c>
      <c r="B195" s="58" t="s">
        <v>117</v>
      </c>
      <c r="C195" s="58" t="s">
        <v>117</v>
      </c>
      <c r="D195" s="58" t="s">
        <v>117</v>
      </c>
      <c r="E195" s="58" t="s">
        <v>117</v>
      </c>
      <c r="F195" s="58" t="s">
        <v>117</v>
      </c>
      <c r="G195" s="58"/>
      <c r="H195" s="49">
        <f>63-3</f>
        <v>60</v>
      </c>
      <c r="K195" s="63"/>
    </row>
    <row r="196" spans="1:11" ht="12.75">
      <c r="A196" s="57" t="s">
        <v>131</v>
      </c>
      <c r="B196" s="58"/>
      <c r="C196" s="58"/>
      <c r="D196" s="58" t="s">
        <v>117</v>
      </c>
      <c r="E196" s="58" t="s">
        <v>117</v>
      </c>
      <c r="F196" s="58" t="s">
        <v>117</v>
      </c>
      <c r="G196" s="58"/>
      <c r="H196" s="49">
        <f>67-3</f>
        <v>64</v>
      </c>
      <c r="J196" s="59" t="s">
        <v>138</v>
      </c>
      <c r="K196" s="63"/>
    </row>
    <row r="197" spans="1:11" ht="12.75">
      <c r="A197" s="57" t="s">
        <v>132</v>
      </c>
      <c r="B197" s="58" t="s">
        <v>117</v>
      </c>
      <c r="C197" s="58" t="s">
        <v>117</v>
      </c>
      <c r="D197" s="58" t="s">
        <v>117</v>
      </c>
      <c r="E197" s="58" t="s">
        <v>117</v>
      </c>
      <c r="F197" s="58" t="s">
        <v>117</v>
      </c>
      <c r="G197" s="58"/>
      <c r="H197" s="49">
        <f>63-3</f>
        <v>60</v>
      </c>
      <c r="K197" s="63"/>
    </row>
    <row r="198" spans="1:11" ht="12.75">
      <c r="A198" s="57" t="s">
        <v>133</v>
      </c>
      <c r="B198" s="58"/>
      <c r="C198" s="58"/>
      <c r="D198" s="58" t="s">
        <v>117</v>
      </c>
      <c r="E198" s="58" t="s">
        <v>117</v>
      </c>
      <c r="F198" s="58" t="s">
        <v>117</v>
      </c>
      <c r="G198" s="58"/>
      <c r="H198" s="49">
        <f>92-3</f>
        <v>89</v>
      </c>
      <c r="K198" s="63"/>
    </row>
    <row r="199" spans="1:11" ht="12.75">
      <c r="A199" s="57" t="s">
        <v>134</v>
      </c>
      <c r="B199" s="58"/>
      <c r="C199" s="58"/>
      <c r="D199" s="58" t="s">
        <v>117</v>
      </c>
      <c r="E199" s="58" t="s">
        <v>117</v>
      </c>
      <c r="F199" s="58" t="s">
        <v>117</v>
      </c>
      <c r="G199" s="58"/>
      <c r="H199" s="49">
        <f>63-3</f>
        <v>60</v>
      </c>
      <c r="K199" s="70"/>
    </row>
    <row r="200" spans="1:11" ht="12.75">
      <c r="A200" s="57" t="s">
        <v>135</v>
      </c>
      <c r="B200" s="58"/>
      <c r="C200" s="58"/>
      <c r="D200" s="58" t="s">
        <v>117</v>
      </c>
      <c r="E200" s="58" t="s">
        <v>117</v>
      </c>
      <c r="F200" s="58" t="s">
        <v>117</v>
      </c>
      <c r="G200" s="58" t="s">
        <v>117</v>
      </c>
      <c r="H200" s="49">
        <f>56-3</f>
        <v>53</v>
      </c>
      <c r="K200" s="63"/>
    </row>
    <row r="201" spans="1:11" ht="12.75">
      <c r="A201" s="57" t="s">
        <v>136</v>
      </c>
      <c r="B201" s="58"/>
      <c r="C201" s="58"/>
      <c r="D201" s="58" t="s">
        <v>117</v>
      </c>
      <c r="E201" s="58" t="s">
        <v>117</v>
      </c>
      <c r="F201" s="58" t="s">
        <v>117</v>
      </c>
      <c r="G201" s="58" t="s">
        <v>117</v>
      </c>
      <c r="H201" s="49">
        <f>56-3</f>
        <v>53</v>
      </c>
      <c r="K201" s="63"/>
    </row>
    <row r="202" spans="1:11" ht="12.75">
      <c r="A202" s="57" t="s">
        <v>137</v>
      </c>
      <c r="B202" s="58"/>
      <c r="C202" s="58"/>
      <c r="D202" s="58" t="s">
        <v>117</v>
      </c>
      <c r="E202" s="58" t="s">
        <v>117</v>
      </c>
      <c r="F202" s="58" t="s">
        <v>117</v>
      </c>
      <c r="G202" s="58"/>
      <c r="H202" s="49">
        <f>50-3</f>
        <v>47</v>
      </c>
      <c r="I202" s="59"/>
      <c r="K202" s="63"/>
    </row>
    <row r="203" spans="1:11" ht="12.75">
      <c r="A203" s="57" t="s">
        <v>139</v>
      </c>
      <c r="B203" s="58"/>
      <c r="C203" s="58"/>
      <c r="D203" s="58" t="s">
        <v>117</v>
      </c>
      <c r="E203" s="58" t="s">
        <v>117</v>
      </c>
      <c r="F203" s="58" t="s">
        <v>117</v>
      </c>
      <c r="G203" s="58" t="s">
        <v>117</v>
      </c>
      <c r="H203" s="49">
        <f>63-3</f>
        <v>60</v>
      </c>
      <c r="K203" s="63"/>
    </row>
    <row r="204" spans="1:11" ht="12.75">
      <c r="A204" s="57" t="s">
        <v>140</v>
      </c>
      <c r="B204" s="58"/>
      <c r="C204" s="58"/>
      <c r="D204" s="58" t="s">
        <v>117</v>
      </c>
      <c r="E204" s="58" t="s">
        <v>117</v>
      </c>
      <c r="F204" s="58" t="s">
        <v>117</v>
      </c>
      <c r="G204" s="58" t="s">
        <v>117</v>
      </c>
      <c r="H204" s="49">
        <f>73-3</f>
        <v>70</v>
      </c>
      <c r="K204" s="63"/>
    </row>
    <row r="205" spans="1:11" ht="12.75">
      <c r="A205" s="57" t="s">
        <v>141</v>
      </c>
      <c r="B205" s="58"/>
      <c r="C205" s="58"/>
      <c r="D205" s="58" t="s">
        <v>117</v>
      </c>
      <c r="E205" s="58" t="s">
        <v>117</v>
      </c>
      <c r="F205" s="58" t="s">
        <v>117</v>
      </c>
      <c r="G205" s="58" t="s">
        <v>117</v>
      </c>
      <c r="H205" s="49">
        <f>63-3</f>
        <v>60</v>
      </c>
      <c r="K205" s="63"/>
    </row>
    <row r="206" spans="1:11" ht="12.75">
      <c r="A206" s="57" t="s">
        <v>142</v>
      </c>
      <c r="B206" s="58" t="s">
        <v>117</v>
      </c>
      <c r="C206" s="58" t="s">
        <v>117</v>
      </c>
      <c r="D206" s="58" t="s">
        <v>117</v>
      </c>
      <c r="E206" s="58" t="s">
        <v>117</v>
      </c>
      <c r="F206" s="58"/>
      <c r="G206" s="58"/>
      <c r="H206" s="124">
        <v>0</v>
      </c>
      <c r="I206">
        <f>B325</f>
        <v>190.26</v>
      </c>
      <c r="K206" s="63"/>
    </row>
    <row r="207" spans="1:11" ht="12.75">
      <c r="A207" s="57" t="s">
        <v>143</v>
      </c>
      <c r="B207" s="58" t="s">
        <v>117</v>
      </c>
      <c r="C207" s="58" t="s">
        <v>117</v>
      </c>
      <c r="D207" s="58" t="s">
        <v>117</v>
      </c>
      <c r="E207" s="58" t="s">
        <v>117</v>
      </c>
      <c r="F207" s="58" t="s">
        <v>117</v>
      </c>
      <c r="G207" s="58"/>
      <c r="H207" s="49">
        <f>63-3</f>
        <v>60</v>
      </c>
      <c r="K207" s="63"/>
    </row>
    <row r="208" spans="1:11" ht="12.75">
      <c r="A208" s="57" t="s">
        <v>144</v>
      </c>
      <c r="B208" s="58"/>
      <c r="C208" s="58"/>
      <c r="D208" s="58" t="s">
        <v>117</v>
      </c>
      <c r="E208" s="58" t="s">
        <v>117</v>
      </c>
      <c r="F208" s="58" t="s">
        <v>117</v>
      </c>
      <c r="G208" s="58"/>
      <c r="H208" s="49">
        <f>71-3</f>
        <v>68</v>
      </c>
      <c r="K208" s="63"/>
    </row>
    <row r="209" spans="1:11" ht="12.75">
      <c r="A209" s="57" t="s">
        <v>145</v>
      </c>
      <c r="B209" s="58"/>
      <c r="C209" s="58"/>
      <c r="D209" s="58" t="s">
        <v>117</v>
      </c>
      <c r="E209" s="58" t="s">
        <v>117</v>
      </c>
      <c r="F209" s="58" t="s">
        <v>117</v>
      </c>
      <c r="G209" s="58"/>
      <c r="H209" s="49">
        <f>91-3</f>
        <v>88</v>
      </c>
      <c r="K209" s="63"/>
    </row>
    <row r="210" spans="1:11" ht="12.75">
      <c r="A210" s="57" t="s">
        <v>146</v>
      </c>
      <c r="B210" s="58"/>
      <c r="C210" s="58"/>
      <c r="D210" s="58" t="s">
        <v>117</v>
      </c>
      <c r="E210" s="58" t="s">
        <v>117</v>
      </c>
      <c r="F210" s="58" t="s">
        <v>117</v>
      </c>
      <c r="G210" s="58" t="s">
        <v>117</v>
      </c>
      <c r="H210" s="49">
        <f>63-3</f>
        <v>60</v>
      </c>
      <c r="K210" s="63"/>
    </row>
    <row r="211" spans="1:11" ht="12.75">
      <c r="A211" s="57" t="s">
        <v>147</v>
      </c>
      <c r="B211" s="58"/>
      <c r="C211" s="58"/>
      <c r="D211" s="58" t="s">
        <v>117</v>
      </c>
      <c r="E211" s="58" t="s">
        <v>117</v>
      </c>
      <c r="F211" s="58" t="s">
        <v>117</v>
      </c>
      <c r="G211" s="58" t="s">
        <v>117</v>
      </c>
      <c r="H211" s="49">
        <f>63-3</f>
        <v>60</v>
      </c>
      <c r="K211" s="63"/>
    </row>
    <row r="212" spans="1:11" ht="12.75">
      <c r="A212" s="57" t="s">
        <v>148</v>
      </c>
      <c r="B212" s="58"/>
      <c r="C212" s="58"/>
      <c r="D212" s="58" t="s">
        <v>117</v>
      </c>
      <c r="E212" s="58" t="s">
        <v>117</v>
      </c>
      <c r="F212" s="58" t="s">
        <v>117</v>
      </c>
      <c r="G212" s="58" t="s">
        <v>117</v>
      </c>
      <c r="H212" s="49">
        <f>56-3</f>
        <v>53</v>
      </c>
      <c r="K212" s="63"/>
    </row>
    <row r="213" spans="1:11" ht="12.75">
      <c r="A213" s="57" t="s">
        <v>149</v>
      </c>
      <c r="B213" s="58"/>
      <c r="C213" s="58"/>
      <c r="D213" s="58" t="s">
        <v>117</v>
      </c>
      <c r="E213" s="58" t="s">
        <v>117</v>
      </c>
      <c r="F213" s="58" t="s">
        <v>117</v>
      </c>
      <c r="G213" s="58" t="s">
        <v>117</v>
      </c>
      <c r="H213" s="49">
        <f>63-3</f>
        <v>60</v>
      </c>
      <c r="K213" s="63"/>
    </row>
    <row r="214" spans="1:11" ht="12.75">
      <c r="A214" s="57" t="s">
        <v>150</v>
      </c>
      <c r="B214" s="58"/>
      <c r="C214" s="58"/>
      <c r="D214" s="58" t="s">
        <v>117</v>
      </c>
      <c r="E214" s="58" t="s">
        <v>117</v>
      </c>
      <c r="F214" s="58" t="s">
        <v>117</v>
      </c>
      <c r="G214" s="58" t="s">
        <v>117</v>
      </c>
      <c r="H214" s="49">
        <f>56-3</f>
        <v>53</v>
      </c>
      <c r="K214" s="63"/>
    </row>
    <row r="215" spans="1:11" ht="12.75">
      <c r="A215" s="57" t="s">
        <v>151</v>
      </c>
      <c r="B215" s="58"/>
      <c r="C215" s="58"/>
      <c r="D215" s="58" t="s">
        <v>117</v>
      </c>
      <c r="E215" s="58" t="s">
        <v>117</v>
      </c>
      <c r="F215" s="58" t="s">
        <v>117</v>
      </c>
      <c r="G215" s="58" t="s">
        <v>117</v>
      </c>
      <c r="H215" s="49">
        <f>56-3</f>
        <v>53</v>
      </c>
      <c r="K215" s="63"/>
    </row>
    <row r="216" spans="1:11" ht="12.75">
      <c r="A216" s="57" t="s">
        <v>152</v>
      </c>
      <c r="B216" s="58"/>
      <c r="C216" s="58"/>
      <c r="D216" s="58" t="s">
        <v>117</v>
      </c>
      <c r="E216" s="58" t="s">
        <v>117</v>
      </c>
      <c r="F216" s="58" t="s">
        <v>117</v>
      </c>
      <c r="G216" s="58" t="s">
        <v>117</v>
      </c>
      <c r="H216" s="49">
        <f>56-3</f>
        <v>53</v>
      </c>
      <c r="K216" s="63"/>
    </row>
    <row r="217" spans="1:11" ht="12.75">
      <c r="A217" s="57" t="s">
        <v>153</v>
      </c>
      <c r="B217" s="58"/>
      <c r="C217" s="58"/>
      <c r="D217" s="58" t="s">
        <v>117</v>
      </c>
      <c r="E217" s="58" t="s">
        <v>117</v>
      </c>
      <c r="F217" s="58" t="s">
        <v>117</v>
      </c>
      <c r="G217" s="58"/>
      <c r="H217" s="49">
        <f>71-3</f>
        <v>68</v>
      </c>
      <c r="J217" s="59" t="s">
        <v>160</v>
      </c>
      <c r="K217" s="63"/>
    </row>
    <row r="218" spans="1:11" ht="12.75">
      <c r="A218" s="57" t="s">
        <v>154</v>
      </c>
      <c r="B218" s="58"/>
      <c r="C218" s="58"/>
      <c r="D218" s="58" t="s">
        <v>117</v>
      </c>
      <c r="E218" s="58" t="s">
        <v>117</v>
      </c>
      <c r="F218" s="58" t="s">
        <v>117</v>
      </c>
      <c r="G218" s="58"/>
      <c r="H218" s="49">
        <f>71-3</f>
        <v>68</v>
      </c>
      <c r="J218" s="59"/>
      <c r="K218" s="63"/>
    </row>
    <row r="219" spans="1:11" ht="12.75">
      <c r="A219" s="57" t="s">
        <v>155</v>
      </c>
      <c r="B219" s="58"/>
      <c r="C219" s="58"/>
      <c r="D219" s="58" t="s">
        <v>117</v>
      </c>
      <c r="E219" s="58" t="s">
        <v>117</v>
      </c>
      <c r="F219" s="58" t="s">
        <v>117</v>
      </c>
      <c r="G219" s="58"/>
      <c r="H219" s="49">
        <f>63-3</f>
        <v>60</v>
      </c>
      <c r="J219" s="59"/>
      <c r="K219" s="63"/>
    </row>
    <row r="220" spans="1:11" ht="12.75">
      <c r="A220" s="57" t="s">
        <v>156</v>
      </c>
      <c r="B220" s="58"/>
      <c r="C220" s="58" t="s">
        <v>117</v>
      </c>
      <c r="D220" s="58" t="s">
        <v>117</v>
      </c>
      <c r="E220" s="58" t="s">
        <v>117</v>
      </c>
      <c r="F220" s="58"/>
      <c r="G220" s="58"/>
      <c r="H220" s="124">
        <v>0</v>
      </c>
      <c r="I220">
        <f>B326</f>
        <v>347.38</v>
      </c>
      <c r="J220" s="59"/>
      <c r="K220" s="63"/>
    </row>
    <row r="221" spans="1:11" ht="12.75">
      <c r="A221" s="57" t="s">
        <v>157</v>
      </c>
      <c r="B221" s="58"/>
      <c r="C221" s="58"/>
      <c r="D221" s="58" t="s">
        <v>117</v>
      </c>
      <c r="E221" s="58" t="s">
        <v>117</v>
      </c>
      <c r="F221" s="58"/>
      <c r="G221" s="58"/>
      <c r="H221" s="125">
        <v>0</v>
      </c>
      <c r="I221">
        <f>B327</f>
        <v>190.26</v>
      </c>
      <c r="J221" s="59"/>
      <c r="K221" s="63"/>
    </row>
    <row r="222" spans="1:11" ht="12.75">
      <c r="A222" s="57" t="s">
        <v>158</v>
      </c>
      <c r="B222" s="58" t="s">
        <v>117</v>
      </c>
      <c r="C222" s="58" t="s">
        <v>117</v>
      </c>
      <c r="D222" s="58" t="s">
        <v>117</v>
      </c>
      <c r="E222" s="58" t="s">
        <v>117</v>
      </c>
      <c r="F222" s="58"/>
      <c r="G222" s="58"/>
      <c r="H222" s="124">
        <v>0</v>
      </c>
      <c r="I222">
        <f>B328</f>
        <v>124.11</v>
      </c>
      <c r="J222" s="59" t="s">
        <v>160</v>
      </c>
      <c r="K222" s="63"/>
    </row>
    <row r="223" spans="1:11" ht="12.75">
      <c r="A223" s="57" t="s">
        <v>651</v>
      </c>
      <c r="B223" s="58"/>
      <c r="C223" s="58"/>
      <c r="D223" s="58"/>
      <c r="E223" s="58"/>
      <c r="F223" s="58"/>
      <c r="G223" s="58"/>
      <c r="H223" s="124">
        <v>0</v>
      </c>
      <c r="I223" s="59"/>
      <c r="K223" s="63"/>
    </row>
    <row r="224" spans="1:11" ht="12.75">
      <c r="A224" s="57" t="s">
        <v>159</v>
      </c>
      <c r="B224" s="58" t="s">
        <v>117</v>
      </c>
      <c r="C224" s="58" t="s">
        <v>117</v>
      </c>
      <c r="D224" s="58" t="s">
        <v>117</v>
      </c>
      <c r="E224" s="58" t="s">
        <v>117</v>
      </c>
      <c r="F224" s="58" t="s">
        <v>117</v>
      </c>
      <c r="G224" s="58"/>
      <c r="H224" s="124">
        <v>0</v>
      </c>
      <c r="I224" s="59"/>
      <c r="K224" s="63"/>
    </row>
    <row r="225" spans="1:11" ht="12.75">
      <c r="A225" s="57" t="s">
        <v>161</v>
      </c>
      <c r="B225" s="58" t="s">
        <v>117</v>
      </c>
      <c r="C225" s="58" t="s">
        <v>117</v>
      </c>
      <c r="D225" s="58" t="s">
        <v>117</v>
      </c>
      <c r="E225" s="58" t="s">
        <v>117</v>
      </c>
      <c r="F225" s="58" t="s">
        <v>117</v>
      </c>
      <c r="G225" s="58"/>
      <c r="H225" s="124">
        <v>0</v>
      </c>
      <c r="I225" s="59"/>
      <c r="K225" s="63"/>
    </row>
    <row r="226" spans="1:11" ht="12.75">
      <c r="A226" s="57" t="s">
        <v>328</v>
      </c>
      <c r="B226" s="58" t="s">
        <v>117</v>
      </c>
      <c r="C226" s="58" t="s">
        <v>117</v>
      </c>
      <c r="D226" s="58" t="s">
        <v>117</v>
      </c>
      <c r="E226" s="58" t="s">
        <v>117</v>
      </c>
      <c r="F226" s="58" t="s">
        <v>117</v>
      </c>
      <c r="G226" s="58"/>
      <c r="H226" s="124">
        <v>0</v>
      </c>
      <c r="I226" s="59"/>
      <c r="K226" s="63"/>
    </row>
    <row r="227" spans="1:11" ht="12.75">
      <c r="A227" s="57" t="s">
        <v>329</v>
      </c>
      <c r="B227" s="58" t="s">
        <v>117</v>
      </c>
      <c r="C227" s="58" t="s">
        <v>117</v>
      </c>
      <c r="D227" s="58" t="s">
        <v>117</v>
      </c>
      <c r="E227" s="58" t="s">
        <v>117</v>
      </c>
      <c r="F227" s="58" t="s">
        <v>117</v>
      </c>
      <c r="G227" s="58"/>
      <c r="H227" s="124">
        <v>0</v>
      </c>
      <c r="I227" s="59"/>
      <c r="K227" s="63"/>
    </row>
    <row r="228" spans="1:11" ht="12.75">
      <c r="A228" s="57" t="s">
        <v>330</v>
      </c>
      <c r="B228" s="58" t="s">
        <v>117</v>
      </c>
      <c r="C228" s="58" t="s">
        <v>117</v>
      </c>
      <c r="D228" s="58" t="s">
        <v>117</v>
      </c>
      <c r="E228" s="58" t="s">
        <v>117</v>
      </c>
      <c r="F228" s="58" t="s">
        <v>117</v>
      </c>
      <c r="G228" s="58"/>
      <c r="H228" s="124">
        <v>0</v>
      </c>
      <c r="I228" s="59"/>
      <c r="K228" s="63"/>
    </row>
    <row r="229" spans="1:11" ht="12.75">
      <c r="A229" s="57" t="s">
        <v>331</v>
      </c>
      <c r="B229" s="58" t="s">
        <v>117</v>
      </c>
      <c r="C229" s="58" t="s">
        <v>117</v>
      </c>
      <c r="D229" s="58" t="s">
        <v>117</v>
      </c>
      <c r="E229" s="58" t="s">
        <v>117</v>
      </c>
      <c r="F229" s="58" t="s">
        <v>117</v>
      </c>
      <c r="G229" s="58"/>
      <c r="H229" s="124">
        <v>0</v>
      </c>
      <c r="I229" s="59"/>
      <c r="K229" s="63"/>
    </row>
    <row r="230" spans="1:11" ht="12.75">
      <c r="A230" s="60"/>
      <c r="B230" s="58"/>
      <c r="C230" s="58"/>
      <c r="D230" s="58"/>
      <c r="E230" s="58"/>
      <c r="F230" s="58"/>
      <c r="G230" s="58"/>
      <c r="K230" s="63"/>
    </row>
    <row r="231" spans="1:11" ht="12.75">
      <c r="A231" s="61" t="s">
        <v>162</v>
      </c>
      <c r="B231" s="58"/>
      <c r="C231" s="58"/>
      <c r="D231" s="58"/>
      <c r="E231" s="58"/>
      <c r="F231" s="58"/>
      <c r="G231" s="58"/>
      <c r="K231" s="63"/>
    </row>
    <row r="232" spans="1:11" ht="12.75">
      <c r="A232" s="61" t="s">
        <v>52</v>
      </c>
      <c r="B232" s="58"/>
      <c r="C232" s="58"/>
      <c r="D232" s="58"/>
      <c r="E232" s="58"/>
      <c r="F232" s="58"/>
      <c r="G232" s="58"/>
      <c r="K232" s="63"/>
    </row>
    <row r="233" spans="1:11" ht="12.75">
      <c r="A233" s="61" t="s">
        <v>163</v>
      </c>
      <c r="B233" s="58"/>
      <c r="C233" s="58"/>
      <c r="D233" s="58"/>
      <c r="E233" s="58"/>
      <c r="F233" s="58"/>
      <c r="G233" s="58"/>
      <c r="K233" s="63"/>
    </row>
    <row r="234" spans="1:11" ht="12.75">
      <c r="A234" s="61" t="s">
        <v>164</v>
      </c>
      <c r="B234" s="58"/>
      <c r="C234" s="58"/>
      <c r="D234" s="58"/>
      <c r="E234" s="58"/>
      <c r="F234" s="58"/>
      <c r="G234" s="58"/>
      <c r="K234" s="63"/>
    </row>
    <row r="235" spans="1:11" ht="12.75">
      <c r="A235" s="60" t="s">
        <v>165</v>
      </c>
      <c r="B235" s="58"/>
      <c r="C235" s="58"/>
      <c r="D235" s="58"/>
      <c r="E235" s="58"/>
      <c r="F235" s="58"/>
      <c r="G235" s="58"/>
      <c r="K235" s="63"/>
    </row>
    <row r="236" spans="1:13" ht="12.75">
      <c r="A236" s="60" t="s">
        <v>166</v>
      </c>
      <c r="B236" s="58"/>
      <c r="C236" s="58"/>
      <c r="D236" s="58"/>
      <c r="E236" s="58"/>
      <c r="F236" s="58"/>
      <c r="G236" s="58"/>
      <c r="K236" s="63"/>
      <c r="L236" s="63" t="s">
        <v>169</v>
      </c>
      <c r="M236" s="63" t="s">
        <v>170</v>
      </c>
    </row>
    <row r="237" spans="1:13" ht="12.75">
      <c r="A237" s="60"/>
      <c r="B237" s="58"/>
      <c r="C237" s="58"/>
      <c r="D237" s="58"/>
      <c r="E237" s="58"/>
      <c r="F237" s="58"/>
      <c r="G237" s="58"/>
      <c r="J237" s="69"/>
      <c r="K237" s="63"/>
      <c r="L237" s="63"/>
      <c r="M237" s="63"/>
    </row>
    <row r="238" spans="1:15" ht="12.75">
      <c r="A238" s="62" t="s">
        <v>167</v>
      </c>
      <c r="B238" s="58"/>
      <c r="C238" s="58"/>
      <c r="D238" s="58" t="s">
        <v>790</v>
      </c>
      <c r="E238" s="58"/>
      <c r="F238" s="58"/>
      <c r="G238" s="58"/>
      <c r="J238" s="73"/>
      <c r="K238" s="63"/>
      <c r="L238" s="70">
        <v>50</v>
      </c>
      <c r="M238" s="70">
        <v>36</v>
      </c>
      <c r="N238" s="70"/>
      <c r="O238" s="70"/>
    </row>
    <row r="239" spans="1:15" ht="12.75">
      <c r="A239" s="60" t="s">
        <v>42</v>
      </c>
      <c r="C239" s="41">
        <v>0</v>
      </c>
      <c r="D239" s="41">
        <v>0</v>
      </c>
      <c r="J239" s="73"/>
      <c r="K239" s="63"/>
      <c r="L239" s="63"/>
      <c r="M239" s="63"/>
      <c r="N239" s="63"/>
      <c r="O239" s="63"/>
    </row>
    <row r="240" spans="1:15" ht="12.75">
      <c r="A240" s="40" t="s">
        <v>918</v>
      </c>
      <c r="C240" s="41">
        <v>0</v>
      </c>
      <c r="D240" s="289">
        <v>0.4</v>
      </c>
      <c r="J240" s="73"/>
      <c r="K240" s="63"/>
      <c r="L240" s="63"/>
      <c r="M240" s="63"/>
      <c r="N240" s="63"/>
      <c r="O240" s="63"/>
    </row>
    <row r="241" spans="1:15" ht="12.75">
      <c r="A241" s="40" t="s">
        <v>919</v>
      </c>
      <c r="C241" s="41">
        <v>0</v>
      </c>
      <c r="D241" s="289">
        <v>0.5</v>
      </c>
      <c r="J241" s="73"/>
      <c r="K241" s="63"/>
      <c r="L241" s="63"/>
      <c r="M241" s="63"/>
      <c r="N241" s="63"/>
      <c r="O241" s="63"/>
    </row>
    <row r="242" spans="1:15" ht="12.75">
      <c r="A242" s="60" t="s">
        <v>168</v>
      </c>
      <c r="C242" s="41">
        <v>0</v>
      </c>
      <c r="D242" s="289">
        <v>0.25</v>
      </c>
      <c r="J242" s="73"/>
      <c r="K242" s="63"/>
      <c r="L242" s="63"/>
      <c r="M242" s="63"/>
      <c r="N242" s="63"/>
      <c r="O242" s="63"/>
    </row>
    <row r="243" spans="1:15" ht="12.75">
      <c r="A243" s="40" t="s">
        <v>171</v>
      </c>
      <c r="C243" s="41">
        <v>0</v>
      </c>
      <c r="J243" s="73"/>
      <c r="K243" s="63"/>
      <c r="L243" s="63"/>
      <c r="M243" s="63"/>
      <c r="N243" s="63"/>
      <c r="O243" s="63"/>
    </row>
    <row r="244" spans="1:15" ht="13.5" thickBot="1">
      <c r="A244" s="64" t="s">
        <v>172</v>
      </c>
      <c r="B244" s="65"/>
      <c r="C244" s="41">
        <v>0</v>
      </c>
      <c r="D244" s="66"/>
      <c r="E244" s="66"/>
      <c r="F244" s="66"/>
      <c r="G244" s="67"/>
      <c r="H244" s="68"/>
      <c r="I244" s="68"/>
      <c r="J244" s="73"/>
      <c r="K244" s="63"/>
      <c r="L244" s="63"/>
      <c r="M244" s="63"/>
      <c r="N244" s="63"/>
      <c r="O244" s="63"/>
    </row>
    <row r="245" spans="1:15" ht="12.75">
      <c r="A245" s="244" t="s">
        <v>411</v>
      </c>
      <c r="B245" s="245">
        <v>4</v>
      </c>
      <c r="C245" s="246">
        <v>820</v>
      </c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</row>
    <row r="246" spans="1:15" ht="12.75">
      <c r="A246" s="247" t="s">
        <v>173</v>
      </c>
      <c r="B246" s="248">
        <v>4</v>
      </c>
      <c r="C246" s="249">
        <v>1190</v>
      </c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</row>
    <row r="247" spans="1:15" ht="12.75">
      <c r="A247" s="247" t="s">
        <v>174</v>
      </c>
      <c r="B247" s="248">
        <v>4</v>
      </c>
      <c r="C247" s="249">
        <v>1140</v>
      </c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</row>
    <row r="248" spans="1:15" ht="12.75">
      <c r="A248" s="247" t="s">
        <v>175</v>
      </c>
      <c r="B248" s="248">
        <v>4</v>
      </c>
      <c r="C248" s="249">
        <v>1140</v>
      </c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</row>
    <row r="249" spans="1:15" ht="12.75">
      <c r="A249" s="247" t="s">
        <v>718</v>
      </c>
      <c r="B249" s="248">
        <v>4</v>
      </c>
      <c r="C249" s="249">
        <v>1600</v>
      </c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</row>
    <row r="250" spans="1:15" ht="12.75">
      <c r="A250" s="247" t="s">
        <v>176</v>
      </c>
      <c r="B250" s="248">
        <v>4</v>
      </c>
      <c r="C250" s="249">
        <v>1400</v>
      </c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</row>
    <row r="251" spans="1:15" ht="12.75">
      <c r="A251" s="247" t="s">
        <v>177</v>
      </c>
      <c r="B251" s="248">
        <v>4</v>
      </c>
      <c r="C251" s="249">
        <v>1190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</row>
    <row r="252" spans="1:15" ht="12.75">
      <c r="A252" s="247" t="s">
        <v>631</v>
      </c>
      <c r="B252" s="248">
        <v>4</v>
      </c>
      <c r="C252" s="249">
        <v>1700</v>
      </c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</row>
    <row r="253" spans="1:15" ht="12.75">
      <c r="A253" s="247" t="s">
        <v>723</v>
      </c>
      <c r="B253" s="248">
        <v>4</v>
      </c>
      <c r="C253" s="249">
        <v>2400</v>
      </c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</row>
    <row r="254" spans="1:15" ht="12.75">
      <c r="A254" s="247" t="s">
        <v>724</v>
      </c>
      <c r="B254" s="248">
        <v>4</v>
      </c>
      <c r="C254" s="249">
        <v>2400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</row>
    <row r="255" spans="1:15" ht="13.5" thickBot="1">
      <c r="A255" s="250"/>
      <c r="B255" s="251"/>
      <c r="C255" s="25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</row>
    <row r="256" spans="1:15" ht="13.5" thickBot="1">
      <c r="A256" s="77" t="s">
        <v>178</v>
      </c>
      <c r="B256" s="78"/>
      <c r="C256" s="78"/>
      <c r="D256" s="79"/>
      <c r="E256" s="80"/>
      <c r="F256" s="80"/>
      <c r="G256" s="71"/>
      <c r="H256" s="72"/>
      <c r="I256" s="72"/>
      <c r="J256" s="73"/>
      <c r="K256" s="63"/>
      <c r="L256" s="63"/>
      <c r="M256" s="63"/>
      <c r="N256" s="63"/>
      <c r="O256" s="63"/>
    </row>
    <row r="257" spans="1:15" ht="12.75">
      <c r="A257" s="244" t="s">
        <v>179</v>
      </c>
      <c r="B257" s="245">
        <v>4</v>
      </c>
      <c r="C257" s="246">
        <v>1264</v>
      </c>
      <c r="D257" s="74"/>
      <c r="E257" s="75"/>
      <c r="F257" s="76"/>
      <c r="G257" s="71"/>
      <c r="H257" s="72"/>
      <c r="I257" s="72"/>
      <c r="J257" s="73"/>
      <c r="K257" s="63"/>
      <c r="L257" s="63"/>
      <c r="M257" s="63"/>
      <c r="N257" s="63"/>
      <c r="O257" s="63"/>
    </row>
    <row r="258" spans="1:15" ht="12.75">
      <c r="A258" s="247" t="s">
        <v>180</v>
      </c>
      <c r="B258" s="248">
        <v>4</v>
      </c>
      <c r="C258" s="249">
        <v>1374</v>
      </c>
      <c r="D258" s="74"/>
      <c r="E258" s="75"/>
      <c r="F258" s="76"/>
      <c r="G258" s="71"/>
      <c r="H258" s="72"/>
      <c r="I258" s="72"/>
      <c r="J258" s="73"/>
      <c r="K258" s="63"/>
      <c r="L258" s="63"/>
      <c r="M258" s="63"/>
      <c r="N258" s="63"/>
      <c r="O258" s="63"/>
    </row>
    <row r="259" spans="1:15" ht="12.75">
      <c r="A259" s="247" t="s">
        <v>181</v>
      </c>
      <c r="B259" s="248">
        <v>4</v>
      </c>
      <c r="C259" s="249">
        <v>1200</v>
      </c>
      <c r="D259" s="74"/>
      <c r="E259" s="75"/>
      <c r="F259" s="76"/>
      <c r="G259" s="71"/>
      <c r="H259" s="72"/>
      <c r="I259" s="72"/>
      <c r="J259" s="73"/>
      <c r="K259" s="70"/>
      <c r="L259" s="63"/>
      <c r="M259" s="63"/>
      <c r="N259" s="63"/>
      <c r="O259" s="63"/>
    </row>
    <row r="260" spans="1:15" ht="12.75">
      <c r="A260" s="247" t="s">
        <v>182</v>
      </c>
      <c r="B260" s="248">
        <v>4</v>
      </c>
      <c r="C260" s="249">
        <v>1422</v>
      </c>
      <c r="D260" s="74"/>
      <c r="E260" s="75"/>
      <c r="F260" s="76"/>
      <c r="G260" s="71"/>
      <c r="H260" s="72"/>
      <c r="I260" s="72"/>
      <c r="J260" s="73"/>
      <c r="K260" s="63"/>
      <c r="L260" s="63"/>
      <c r="M260" s="63"/>
      <c r="N260" s="63"/>
      <c r="O260" s="63"/>
    </row>
    <row r="261" spans="1:15" s="70" customFormat="1" ht="30.75" customHeight="1">
      <c r="A261" s="247" t="s">
        <v>183</v>
      </c>
      <c r="B261" s="248">
        <v>4</v>
      </c>
      <c r="C261" s="249">
        <v>1190</v>
      </c>
      <c r="D261" s="74"/>
      <c r="E261" s="75"/>
      <c r="F261" s="76"/>
      <c r="G261" s="71"/>
      <c r="H261" s="72"/>
      <c r="I261" s="72"/>
      <c r="J261" s="73"/>
      <c r="K261" s="63"/>
      <c r="L261" s="63"/>
      <c r="M261" s="63"/>
      <c r="N261" s="63"/>
      <c r="O261" s="63"/>
    </row>
    <row r="262" spans="1:10" s="63" customFormat="1" ht="12.75">
      <c r="A262" s="247" t="s">
        <v>184</v>
      </c>
      <c r="B262" s="248">
        <v>4</v>
      </c>
      <c r="C262" s="249">
        <v>1326</v>
      </c>
      <c r="D262" s="74"/>
      <c r="E262" s="75"/>
      <c r="F262" s="76"/>
      <c r="G262" s="71"/>
      <c r="H262" s="72"/>
      <c r="I262" s="72"/>
      <c r="J262" s="73"/>
    </row>
    <row r="263" spans="1:11" s="63" customFormat="1" ht="12.75">
      <c r="A263" s="247" t="s">
        <v>185</v>
      </c>
      <c r="B263" s="248">
        <v>4</v>
      </c>
      <c r="C263" s="249">
        <v>1500</v>
      </c>
      <c r="D263" s="74"/>
      <c r="E263" s="75"/>
      <c r="F263" s="76"/>
      <c r="G263" s="71"/>
      <c r="H263" s="72"/>
      <c r="I263" s="72"/>
      <c r="J263" s="73"/>
      <c r="K263"/>
    </row>
    <row r="264" spans="1:11" s="63" customFormat="1" ht="12.75">
      <c r="A264" s="247" t="s">
        <v>186</v>
      </c>
      <c r="B264" s="248">
        <v>4</v>
      </c>
      <c r="C264" s="249">
        <v>2504</v>
      </c>
      <c r="D264" s="74"/>
      <c r="E264" s="75"/>
      <c r="F264" s="76"/>
      <c r="G264" s="71"/>
      <c r="H264" s="72"/>
      <c r="I264" s="72"/>
      <c r="J264" s="73"/>
      <c r="K264"/>
    </row>
    <row r="265" spans="1:11" s="63" customFormat="1" ht="12.75">
      <c r="A265" s="247" t="s">
        <v>187</v>
      </c>
      <c r="B265" s="248">
        <v>4</v>
      </c>
      <c r="C265" s="249">
        <v>1500</v>
      </c>
      <c r="D265" s="74"/>
      <c r="E265" s="75"/>
      <c r="F265" s="76"/>
      <c r="G265" s="71"/>
      <c r="H265" s="72"/>
      <c r="I265" s="72"/>
      <c r="J265" s="73"/>
      <c r="K265"/>
    </row>
    <row r="266" spans="1:11" s="63" customFormat="1" ht="12.75">
      <c r="A266" s="247" t="s">
        <v>188</v>
      </c>
      <c r="B266" s="248">
        <v>4</v>
      </c>
      <c r="C266" s="249">
        <v>7402</v>
      </c>
      <c r="D266" s="74"/>
      <c r="E266" s="75"/>
      <c r="F266" s="76"/>
      <c r="G266" s="71"/>
      <c r="H266" s="72"/>
      <c r="I266" s="72"/>
      <c r="J266" s="73"/>
      <c r="K266"/>
    </row>
    <row r="267" spans="1:11" s="63" customFormat="1" ht="12.75">
      <c r="A267" s="247" t="s">
        <v>189</v>
      </c>
      <c r="B267" s="248">
        <v>4</v>
      </c>
      <c r="C267" s="249">
        <v>1986</v>
      </c>
      <c r="D267" s="74"/>
      <c r="E267" s="75"/>
      <c r="F267" s="76"/>
      <c r="G267" s="71"/>
      <c r="H267" s="72"/>
      <c r="I267" s="72"/>
      <c r="J267" s="73"/>
      <c r="K267"/>
    </row>
    <row r="268" spans="1:11" s="63" customFormat="1" ht="12.75">
      <c r="A268" s="247" t="s">
        <v>632</v>
      </c>
      <c r="B268" s="248">
        <v>4</v>
      </c>
      <c r="C268" s="249">
        <v>2400</v>
      </c>
      <c r="D268" s="74"/>
      <c r="E268" s="75"/>
      <c r="F268" s="76"/>
      <c r="G268" s="71"/>
      <c r="H268" s="72"/>
      <c r="I268" s="72"/>
      <c r="J268" s="73"/>
      <c r="K268"/>
    </row>
    <row r="269" spans="1:13" s="63" customFormat="1" ht="13.5" thickBot="1">
      <c r="A269" s="253"/>
      <c r="B269" s="254"/>
      <c r="C269" s="252"/>
      <c r="D269" s="74"/>
      <c r="E269" s="75"/>
      <c r="F269" s="76"/>
      <c r="G269" s="71"/>
      <c r="H269" s="72"/>
      <c r="I269" s="72"/>
      <c r="J269" s="73"/>
      <c r="K269"/>
      <c r="L269" s="70"/>
      <c r="M269" s="70"/>
    </row>
    <row r="270" spans="1:13" s="63" customFormat="1" ht="13.5" thickBot="1">
      <c r="A270" s="77" t="s">
        <v>190</v>
      </c>
      <c r="B270" s="78"/>
      <c r="C270" s="84"/>
      <c r="D270" s="79"/>
      <c r="E270" s="80"/>
      <c r="F270" s="80"/>
      <c r="G270" s="71"/>
      <c r="H270" s="72"/>
      <c r="I270" s="72"/>
      <c r="J270" s="73"/>
      <c r="K270"/>
      <c r="L270" s="70"/>
      <c r="M270" s="70"/>
    </row>
    <row r="271" spans="1:11" s="63" customFormat="1" ht="12.75">
      <c r="A271" s="244" t="s">
        <v>191</v>
      </c>
      <c r="B271" s="245">
        <v>4</v>
      </c>
      <c r="C271" s="246">
        <v>1080</v>
      </c>
      <c r="D271" s="74"/>
      <c r="E271" s="75"/>
      <c r="F271" s="76"/>
      <c r="G271" s="71"/>
      <c r="H271" s="72"/>
      <c r="I271" s="72"/>
      <c r="J271" s="73"/>
      <c r="K271"/>
    </row>
    <row r="272" spans="1:11" s="63" customFormat="1" ht="12.75">
      <c r="A272" s="247" t="s">
        <v>633</v>
      </c>
      <c r="B272" s="248">
        <v>4</v>
      </c>
      <c r="C272" s="249">
        <v>1480</v>
      </c>
      <c r="D272" s="74"/>
      <c r="E272" s="75"/>
      <c r="F272" s="76"/>
      <c r="G272" s="71"/>
      <c r="H272" s="72"/>
      <c r="I272" s="72"/>
      <c r="J272" s="73"/>
      <c r="K272"/>
    </row>
    <row r="273" spans="1:11" s="63" customFormat="1" ht="12.75">
      <c r="A273" s="247" t="s">
        <v>192</v>
      </c>
      <c r="B273" s="248">
        <v>4</v>
      </c>
      <c r="C273" s="249">
        <v>1500</v>
      </c>
      <c r="D273" s="74"/>
      <c r="E273" s="75"/>
      <c r="F273" s="76"/>
      <c r="G273" s="71"/>
      <c r="H273" s="72"/>
      <c r="I273" s="72"/>
      <c r="J273" s="73"/>
      <c r="K273"/>
    </row>
    <row r="274" spans="1:11" s="63" customFormat="1" ht="13.5" thickBot="1">
      <c r="A274" s="250" t="s">
        <v>717</v>
      </c>
      <c r="B274" s="251">
        <v>4</v>
      </c>
      <c r="C274" s="252">
        <v>1500</v>
      </c>
      <c r="D274" s="74"/>
      <c r="E274" s="75"/>
      <c r="F274" s="76"/>
      <c r="G274" s="71"/>
      <c r="H274" s="72"/>
      <c r="I274" s="72"/>
      <c r="J274" s="73"/>
      <c r="K274"/>
    </row>
    <row r="275" spans="1:11" s="63" customFormat="1" ht="13.5" thickBot="1">
      <c r="A275" s="85" t="s">
        <v>193</v>
      </c>
      <c r="B275" s="86"/>
      <c r="C275" s="86"/>
      <c r="D275" s="87"/>
      <c r="E275" s="88"/>
      <c r="F275" s="88"/>
      <c r="G275" s="71"/>
      <c r="H275" s="72"/>
      <c r="I275" s="72"/>
      <c r="J275" s="73"/>
      <c r="K275"/>
    </row>
    <row r="276" spans="1:11" s="63" customFormat="1" ht="12.75">
      <c r="A276" s="255" t="s">
        <v>194</v>
      </c>
      <c r="B276" s="245">
        <v>4</v>
      </c>
      <c r="C276" s="246">
        <v>1700</v>
      </c>
      <c r="D276" s="74"/>
      <c r="E276" s="75"/>
      <c r="F276" s="76"/>
      <c r="G276" s="71"/>
      <c r="H276" s="72"/>
      <c r="I276" s="72"/>
      <c r="J276" s="73"/>
      <c r="K276"/>
    </row>
    <row r="277" spans="1:11" s="63" customFormat="1" ht="12.75">
      <c r="A277" s="256" t="s">
        <v>195</v>
      </c>
      <c r="B277" s="248">
        <v>4</v>
      </c>
      <c r="C277" s="249">
        <v>1700</v>
      </c>
      <c r="D277" s="74"/>
      <c r="E277" s="75"/>
      <c r="F277" s="76"/>
      <c r="G277" s="71"/>
      <c r="H277" s="72"/>
      <c r="I277" s="72"/>
      <c r="J277" s="73"/>
      <c r="K277"/>
    </row>
    <row r="278" spans="1:11" s="63" customFormat="1" ht="12.75">
      <c r="A278" s="256" t="s">
        <v>196</v>
      </c>
      <c r="B278" s="248">
        <v>4</v>
      </c>
      <c r="C278" s="249">
        <v>1700</v>
      </c>
      <c r="D278" s="74"/>
      <c r="E278" s="75"/>
      <c r="F278" s="76"/>
      <c r="G278" s="71"/>
      <c r="H278" s="72"/>
      <c r="I278" s="72"/>
      <c r="J278" s="73"/>
      <c r="K278"/>
    </row>
    <row r="279" spans="1:11" s="63" customFormat="1" ht="12.75">
      <c r="A279" s="256" t="s">
        <v>197</v>
      </c>
      <c r="B279" s="248">
        <v>4</v>
      </c>
      <c r="C279" s="249">
        <v>1700</v>
      </c>
      <c r="D279" s="74"/>
      <c r="E279" s="75"/>
      <c r="F279" s="76"/>
      <c r="G279" s="71"/>
      <c r="H279" s="72"/>
      <c r="I279" s="72"/>
      <c r="J279" s="73"/>
      <c r="K279"/>
    </row>
    <row r="280" spans="1:11" s="63" customFormat="1" ht="12.75">
      <c r="A280" s="256" t="s">
        <v>198</v>
      </c>
      <c r="B280" s="248">
        <v>4</v>
      </c>
      <c r="C280" s="249">
        <v>1700</v>
      </c>
      <c r="D280" s="74"/>
      <c r="E280" s="75"/>
      <c r="F280" s="76"/>
      <c r="G280" s="71"/>
      <c r="H280" s="72"/>
      <c r="I280" s="72"/>
      <c r="J280" s="73"/>
      <c r="K280"/>
    </row>
    <row r="281" spans="1:11" s="63" customFormat="1" ht="12.75">
      <c r="A281" s="256" t="s">
        <v>199</v>
      </c>
      <c r="B281" s="248">
        <v>4</v>
      </c>
      <c r="C281" s="249">
        <v>1700</v>
      </c>
      <c r="D281" s="74"/>
      <c r="E281" s="75"/>
      <c r="F281" s="76"/>
      <c r="G281" s="71"/>
      <c r="H281" s="72"/>
      <c r="I281" s="72"/>
      <c r="J281" s="73"/>
      <c r="K281"/>
    </row>
    <row r="282" spans="1:11" s="63" customFormat="1" ht="12.75">
      <c r="A282" s="257" t="s">
        <v>200</v>
      </c>
      <c r="B282" s="258">
        <v>4</v>
      </c>
      <c r="C282" s="259">
        <v>1700</v>
      </c>
      <c r="D282" s="89"/>
      <c r="E282" s="90"/>
      <c r="F282" s="91"/>
      <c r="G282" s="71"/>
      <c r="H282" s="72"/>
      <c r="I282" s="72"/>
      <c r="J282" s="73"/>
      <c r="K282"/>
    </row>
    <row r="283" spans="1:11" s="63" customFormat="1" ht="12.75">
      <c r="A283" s="256" t="s">
        <v>201</v>
      </c>
      <c r="B283" s="248">
        <v>4</v>
      </c>
      <c r="C283" s="249">
        <v>1700</v>
      </c>
      <c r="D283" s="74"/>
      <c r="E283" s="75"/>
      <c r="F283" s="76"/>
      <c r="G283" s="71"/>
      <c r="H283" s="72"/>
      <c r="I283" s="72"/>
      <c r="J283" s="73"/>
      <c r="K283"/>
    </row>
    <row r="284" spans="1:11" s="63" customFormat="1" ht="12.75">
      <c r="A284" s="256" t="s">
        <v>202</v>
      </c>
      <c r="B284" s="248">
        <v>4</v>
      </c>
      <c r="C284" s="249">
        <v>1700</v>
      </c>
      <c r="D284" s="74"/>
      <c r="E284" s="75"/>
      <c r="F284" s="76"/>
      <c r="G284" s="71"/>
      <c r="H284" s="72"/>
      <c r="I284" s="72"/>
      <c r="J284" s="73"/>
      <c r="K284"/>
    </row>
    <row r="285" spans="1:11" s="63" customFormat="1" ht="12.75">
      <c r="A285" s="256" t="s">
        <v>203</v>
      </c>
      <c r="B285" s="248">
        <v>4</v>
      </c>
      <c r="C285" s="249">
        <v>1700</v>
      </c>
      <c r="D285" s="74"/>
      <c r="E285" s="75"/>
      <c r="F285" s="76"/>
      <c r="G285" s="71"/>
      <c r="H285" s="72"/>
      <c r="I285" s="72"/>
      <c r="J285" s="73"/>
      <c r="K285"/>
    </row>
    <row r="286" spans="1:11" s="63" customFormat="1" ht="12.75">
      <c r="A286" s="256" t="s">
        <v>204</v>
      </c>
      <c r="B286" s="248">
        <v>4</v>
      </c>
      <c r="C286" s="249">
        <v>1700</v>
      </c>
      <c r="D286" s="74"/>
      <c r="E286" s="75"/>
      <c r="F286" s="76"/>
      <c r="G286" s="71"/>
      <c r="H286" s="72"/>
      <c r="I286" s="72"/>
      <c r="J286" s="73"/>
      <c r="K286"/>
    </row>
    <row r="287" spans="1:11" s="63" customFormat="1" ht="12.75">
      <c r="A287" s="256" t="s">
        <v>205</v>
      </c>
      <c r="B287" s="248">
        <v>4</v>
      </c>
      <c r="C287" s="249">
        <v>1700</v>
      </c>
      <c r="D287" s="74"/>
      <c r="E287" s="75"/>
      <c r="F287" s="76"/>
      <c r="G287" s="71"/>
      <c r="H287" s="72"/>
      <c r="I287" s="72"/>
      <c r="J287" s="73"/>
      <c r="K287"/>
    </row>
    <row r="288" spans="1:11" s="63" customFormat="1" ht="11.25" customHeight="1">
      <c r="A288" s="256" t="s">
        <v>206</v>
      </c>
      <c r="B288" s="248">
        <v>4</v>
      </c>
      <c r="C288" s="249">
        <v>1700</v>
      </c>
      <c r="D288" s="74"/>
      <c r="E288" s="75"/>
      <c r="F288" s="76"/>
      <c r="G288" s="71"/>
      <c r="H288" s="72"/>
      <c r="I288" s="72"/>
      <c r="J288" s="73"/>
      <c r="K288"/>
    </row>
    <row r="289" spans="1:11" s="63" customFormat="1" ht="11.25" customHeight="1">
      <c r="A289" s="256" t="s">
        <v>207</v>
      </c>
      <c r="B289" s="248">
        <v>4</v>
      </c>
      <c r="C289" s="249">
        <v>1700</v>
      </c>
      <c r="D289" s="74"/>
      <c r="E289" s="75"/>
      <c r="F289" s="76"/>
      <c r="G289" s="71"/>
      <c r="H289" s="72"/>
      <c r="I289" s="72"/>
      <c r="J289" s="73"/>
      <c r="K289"/>
    </row>
    <row r="290" spans="1:11" s="63" customFormat="1" ht="13.5" thickBot="1">
      <c r="A290" s="260" t="s">
        <v>208</v>
      </c>
      <c r="B290" s="251">
        <v>4</v>
      </c>
      <c r="C290" s="252">
        <v>1700</v>
      </c>
      <c r="D290" s="74"/>
      <c r="E290" s="75"/>
      <c r="F290" s="76"/>
      <c r="G290" s="71"/>
      <c r="H290" s="72"/>
      <c r="I290" s="72"/>
      <c r="J290" s="73"/>
      <c r="K290"/>
    </row>
    <row r="291" spans="1:15" s="70" customFormat="1" ht="18.75" customHeight="1" thickBot="1">
      <c r="A291" s="85" t="s">
        <v>209</v>
      </c>
      <c r="B291" s="86"/>
      <c r="C291" s="86"/>
      <c r="D291" s="87"/>
      <c r="E291" s="88"/>
      <c r="F291" s="88"/>
      <c r="G291" s="71"/>
      <c r="H291" s="72"/>
      <c r="I291" s="72"/>
      <c r="J291" s="73"/>
      <c r="K291"/>
      <c r="L291" s="63"/>
      <c r="M291" s="63"/>
      <c r="N291" s="63"/>
      <c r="O291" s="63"/>
    </row>
    <row r="292" spans="1:15" s="70" customFormat="1" ht="18.75" customHeight="1">
      <c r="A292" s="255" t="s">
        <v>210</v>
      </c>
      <c r="B292" s="245">
        <v>4</v>
      </c>
      <c r="C292" s="246">
        <v>2800</v>
      </c>
      <c r="D292" s="74"/>
      <c r="E292" s="75"/>
      <c r="F292" s="76"/>
      <c r="G292" s="71"/>
      <c r="H292" s="72"/>
      <c r="I292" s="72"/>
      <c r="J292" s="73"/>
      <c r="K292"/>
      <c r="N292" s="63"/>
      <c r="O292" s="63"/>
    </row>
    <row r="293" spans="1:11" s="63" customFormat="1" ht="12.75">
      <c r="A293" s="256" t="s">
        <v>211</v>
      </c>
      <c r="B293" s="248">
        <v>4</v>
      </c>
      <c r="C293" s="249">
        <v>2800</v>
      </c>
      <c r="D293" s="74"/>
      <c r="E293" s="75"/>
      <c r="F293" s="76"/>
      <c r="G293" s="71"/>
      <c r="H293" s="72"/>
      <c r="I293" s="72"/>
      <c r="J293" s="73"/>
      <c r="K293"/>
    </row>
    <row r="294" spans="1:11" s="63" customFormat="1" ht="12.75">
      <c r="A294" s="256" t="s">
        <v>212</v>
      </c>
      <c r="B294" s="248">
        <v>4</v>
      </c>
      <c r="C294" s="249">
        <v>2800</v>
      </c>
      <c r="D294" s="74"/>
      <c r="E294" s="75"/>
      <c r="F294" s="76"/>
      <c r="G294" s="71"/>
      <c r="H294" s="72"/>
      <c r="I294" s="72"/>
      <c r="J294" s="73"/>
      <c r="K294"/>
    </row>
    <row r="295" spans="1:11" s="63" customFormat="1" ht="12.75">
      <c r="A295" s="286" t="s">
        <v>725</v>
      </c>
      <c r="B295" s="287">
        <v>4</v>
      </c>
      <c r="C295" s="288">
        <v>3400</v>
      </c>
      <c r="D295" s="74"/>
      <c r="E295" s="75"/>
      <c r="F295" s="76"/>
      <c r="G295" s="71"/>
      <c r="H295" s="72"/>
      <c r="I295" s="72"/>
      <c r="J295" s="73"/>
      <c r="K295"/>
    </row>
    <row r="296" spans="1:11" s="63" customFormat="1" ht="13.5" thickBot="1">
      <c r="A296" s="260" t="s">
        <v>635</v>
      </c>
      <c r="B296" s="251">
        <v>4</v>
      </c>
      <c r="C296" s="252">
        <v>4100</v>
      </c>
      <c r="D296" s="74"/>
      <c r="E296" s="75"/>
      <c r="F296" s="76"/>
      <c r="G296" s="71"/>
      <c r="H296" s="72"/>
      <c r="I296" s="72"/>
      <c r="J296" s="73"/>
      <c r="K296"/>
    </row>
    <row r="297" spans="1:11" s="63" customFormat="1" ht="12.75">
      <c r="A297" s="85" t="s">
        <v>213</v>
      </c>
      <c r="B297" s="86"/>
      <c r="C297" s="86"/>
      <c r="D297" s="87"/>
      <c r="E297" s="88"/>
      <c r="F297" s="88"/>
      <c r="G297" s="71"/>
      <c r="H297" s="72"/>
      <c r="I297" s="72"/>
      <c r="J297" s="73"/>
      <c r="K297"/>
    </row>
    <row r="298" spans="1:13" s="63" customFormat="1" ht="12.75">
      <c r="A298" s="261" t="s">
        <v>214</v>
      </c>
      <c r="B298" s="262">
        <v>4</v>
      </c>
      <c r="C298" s="249">
        <f>L294</f>
        <v>0</v>
      </c>
      <c r="D298" s="74"/>
      <c r="E298" s="75"/>
      <c r="F298" s="76"/>
      <c r="G298" s="71"/>
      <c r="H298" s="72"/>
      <c r="I298" s="72"/>
      <c r="J298" s="73"/>
      <c r="K298"/>
      <c r="L298" s="94"/>
      <c r="M298" s="94"/>
    </row>
    <row r="299" spans="1:13" s="63" customFormat="1" ht="12.75">
      <c r="A299" s="261" t="s">
        <v>215</v>
      </c>
      <c r="B299" s="262">
        <v>4</v>
      </c>
      <c r="C299" s="249">
        <f>L295</f>
        <v>0</v>
      </c>
      <c r="D299" s="81"/>
      <c r="E299" s="82"/>
      <c r="F299" s="92"/>
      <c r="G299" s="71"/>
      <c r="H299" s="72"/>
      <c r="I299" s="72"/>
      <c r="J299"/>
      <c r="K299"/>
      <c r="L299" s="93"/>
      <c r="M299" s="93"/>
    </row>
    <row r="300" spans="1:15" s="63" customFormat="1" ht="12.75">
      <c r="A300" s="261" t="s">
        <v>634</v>
      </c>
      <c r="B300" s="262">
        <v>4</v>
      </c>
      <c r="C300" s="249">
        <f>L296</f>
        <v>0</v>
      </c>
      <c r="D300" s="81"/>
      <c r="E300" s="82"/>
      <c r="F300" s="92"/>
      <c r="G300" s="71"/>
      <c r="H300" s="72"/>
      <c r="I300" s="72"/>
      <c r="J300"/>
      <c r="K300"/>
      <c r="L300"/>
      <c r="M300"/>
      <c r="N300"/>
      <c r="O300"/>
    </row>
    <row r="301" spans="1:15" s="63" customFormat="1" ht="12.75">
      <c r="A301" s="261"/>
      <c r="B301" s="262"/>
      <c r="C301" s="249"/>
      <c r="D301" s="81"/>
      <c r="E301" s="82"/>
      <c r="F301" s="92"/>
      <c r="G301" s="71"/>
      <c r="H301" s="72"/>
      <c r="I301" s="72"/>
      <c r="J301"/>
      <c r="K301"/>
      <c r="L301"/>
      <c r="M301"/>
      <c r="N301"/>
      <c r="O301"/>
    </row>
    <row r="302" spans="1:15" s="63" customFormat="1" ht="12.75">
      <c r="A302" s="93"/>
      <c r="B302" s="94"/>
      <c r="C302" s="84"/>
      <c r="D302" s="81"/>
      <c r="E302" s="82"/>
      <c r="F302" s="92"/>
      <c r="G302" s="71"/>
      <c r="H302" s="72"/>
      <c r="I302" s="72"/>
      <c r="J302"/>
      <c r="K302"/>
      <c r="L302"/>
      <c r="M302"/>
      <c r="N302"/>
      <c r="O302"/>
    </row>
    <row r="303" spans="1:15" s="63" customFormat="1" ht="13.5" thickBot="1">
      <c r="A303" s="95" t="s">
        <v>216</v>
      </c>
      <c r="B303" s="94" t="s">
        <v>217</v>
      </c>
      <c r="C303" s="96"/>
      <c r="D303" s="97"/>
      <c r="E303" s="83"/>
      <c r="F303" s="92"/>
      <c r="G303" s="71"/>
      <c r="H303" s="72"/>
      <c r="I303" s="72"/>
      <c r="J303"/>
      <c r="K303"/>
      <c r="L303"/>
      <c r="M303"/>
      <c r="N303"/>
      <c r="O303"/>
    </row>
    <row r="304" spans="1:15" s="63" customFormat="1" ht="13.5" thickBot="1">
      <c r="A304" s="98" t="s">
        <v>218</v>
      </c>
      <c r="B304" s="99" t="s">
        <v>219</v>
      </c>
      <c r="C304" s="100">
        <v>400</v>
      </c>
      <c r="D304" s="101"/>
      <c r="E304" s="102"/>
      <c r="F304" s="103"/>
      <c r="G304" s="71"/>
      <c r="H304" s="72"/>
      <c r="I304" s="72"/>
      <c r="J304"/>
      <c r="K304"/>
      <c r="L304"/>
      <c r="M304"/>
      <c r="N304"/>
      <c r="O304"/>
    </row>
    <row r="305" spans="1:15" s="63" customFormat="1" ht="12.75">
      <c r="A305" s="40"/>
      <c r="B305" s="41"/>
      <c r="C305" s="40"/>
      <c r="D305" s="41"/>
      <c r="E305" s="41"/>
      <c r="F305" s="41"/>
      <c r="G305" s="41"/>
      <c r="H305"/>
      <c r="I305"/>
      <c r="J305"/>
      <c r="K305"/>
      <c r="L305"/>
      <c r="M305"/>
      <c r="N305"/>
      <c r="O305"/>
    </row>
    <row r="306" spans="1:15" s="63" customFormat="1" ht="12.75">
      <c r="A306" s="42" t="s">
        <v>220</v>
      </c>
      <c r="B306" s="42" t="s">
        <v>17</v>
      </c>
      <c r="C306" s="42" t="s">
        <v>133</v>
      </c>
      <c r="D306" s="42" t="s">
        <v>134</v>
      </c>
      <c r="E306" s="42" t="s">
        <v>414</v>
      </c>
      <c r="F306" s="42" t="s">
        <v>415</v>
      </c>
      <c r="G306" s="43" t="s">
        <v>221</v>
      </c>
      <c r="H306" s="43"/>
      <c r="I306"/>
      <c r="J306"/>
      <c r="K306"/>
      <c r="L306"/>
      <c r="M306"/>
      <c r="N306"/>
      <c r="O306"/>
    </row>
    <row r="307" spans="1:15" s="63" customFormat="1" ht="12.75">
      <c r="A307" s="48">
        <v>1</v>
      </c>
      <c r="B307" s="155">
        <v>3048</v>
      </c>
      <c r="C307" s="155">
        <v>4832</v>
      </c>
      <c r="D307" s="155">
        <v>3945</v>
      </c>
      <c r="E307" s="155">
        <v>1377</v>
      </c>
      <c r="F307" s="155">
        <f>E307</f>
        <v>1377</v>
      </c>
      <c r="G307" s="156">
        <v>3871</v>
      </c>
      <c r="H307" s="41"/>
      <c r="I307"/>
      <c r="J307"/>
      <c r="K307"/>
      <c r="L307"/>
      <c r="M307"/>
      <c r="N307"/>
      <c r="O307"/>
    </row>
    <row r="308" spans="1:15" s="63" customFormat="1" ht="12.75">
      <c r="A308" s="48">
        <v>2</v>
      </c>
      <c r="B308" s="155">
        <v>3342</v>
      </c>
      <c r="C308" s="155">
        <v>5183</v>
      </c>
      <c r="D308" s="155">
        <v>4374</v>
      </c>
      <c r="E308" s="155">
        <v>1497</v>
      </c>
      <c r="F308" s="155">
        <f>E308</f>
        <v>1497</v>
      </c>
      <c r="G308" s="156">
        <v>4206</v>
      </c>
      <c r="H308" s="41"/>
      <c r="I308"/>
      <c r="J308"/>
      <c r="K308"/>
      <c r="L308"/>
      <c r="M308"/>
      <c r="N308"/>
      <c r="O308"/>
    </row>
    <row r="309" spans="1:15" s="63" customFormat="1" ht="12.75">
      <c r="A309" s="48">
        <v>3</v>
      </c>
      <c r="B309" s="155">
        <v>3522</v>
      </c>
      <c r="C309" s="155">
        <v>5303</v>
      </c>
      <c r="D309" s="155">
        <v>4560</v>
      </c>
      <c r="E309" s="155">
        <v>1548</v>
      </c>
      <c r="F309" s="155">
        <f>E309</f>
        <v>1548</v>
      </c>
      <c r="G309" s="156">
        <v>4349.4485</v>
      </c>
      <c r="H309" s="41"/>
      <c r="I309"/>
      <c r="J309"/>
      <c r="K309"/>
      <c r="L309"/>
      <c r="M309"/>
      <c r="N309"/>
      <c r="O309"/>
    </row>
    <row r="310" spans="1:15" s="63" customFormat="1" ht="12.75">
      <c r="A310" s="48">
        <v>4</v>
      </c>
      <c r="B310" s="155">
        <v>3741</v>
      </c>
      <c r="C310" s="48">
        <v>5636</v>
      </c>
      <c r="D310" s="48">
        <v>4843</v>
      </c>
      <c r="E310" s="48">
        <v>1617</v>
      </c>
      <c r="F310" s="155">
        <f>E310</f>
        <v>1617</v>
      </c>
      <c r="G310" s="41">
        <v>4551.2868</v>
      </c>
      <c r="H310"/>
      <c r="I310"/>
      <c r="J310"/>
      <c r="K310"/>
      <c r="L310"/>
      <c r="M310"/>
      <c r="N310"/>
      <c r="O310"/>
    </row>
    <row r="311" spans="1:15" s="63" customFormat="1" ht="12.75">
      <c r="A311" s="40">
        <v>5</v>
      </c>
      <c r="B311" s="155">
        <v>4037</v>
      </c>
      <c r="C311" s="40"/>
      <c r="D311" s="41"/>
      <c r="E311" s="41"/>
      <c r="F311" s="41"/>
      <c r="G311" s="41"/>
      <c r="H311"/>
      <c r="I311"/>
      <c r="J311"/>
      <c r="K311"/>
      <c r="L311"/>
      <c r="M311"/>
      <c r="N311"/>
      <c r="O311"/>
    </row>
    <row r="312" spans="1:15" s="63" customFormat="1" ht="12.75">
      <c r="A312" s="40">
        <v>6</v>
      </c>
      <c r="B312" s="155">
        <v>4464</v>
      </c>
      <c r="C312" s="40"/>
      <c r="D312" s="41"/>
      <c r="E312" s="41"/>
      <c r="F312" s="41"/>
      <c r="G312" s="41"/>
      <c r="H312"/>
      <c r="I312"/>
      <c r="J312"/>
      <c r="K312"/>
      <c r="L312"/>
      <c r="M312"/>
      <c r="N312"/>
      <c r="O312"/>
    </row>
    <row r="313" spans="1:15" s="63" customFormat="1" ht="12.75">
      <c r="A313" s="40">
        <v>7</v>
      </c>
      <c r="B313" s="155">
        <v>4649</v>
      </c>
      <c r="C313" s="40"/>
      <c r="D313" s="41"/>
      <c r="E313" s="41"/>
      <c r="F313" s="41"/>
      <c r="G313" s="41"/>
      <c r="H313"/>
      <c r="I313"/>
      <c r="J313"/>
      <c r="K313"/>
      <c r="L313"/>
      <c r="M313"/>
      <c r="N313"/>
      <c r="O313"/>
    </row>
    <row r="314" spans="1:15" s="70" customFormat="1" ht="18.75" customHeight="1">
      <c r="A314" s="40">
        <v>8</v>
      </c>
      <c r="B314" s="155">
        <v>0</v>
      </c>
      <c r="C314" s="40"/>
      <c r="D314" s="41"/>
      <c r="E314" s="41"/>
      <c r="F314" s="41"/>
      <c r="G314" s="41"/>
      <c r="H314"/>
      <c r="I314"/>
      <c r="J314"/>
      <c r="K314"/>
      <c r="L314"/>
      <c r="M314"/>
      <c r="N314"/>
      <c r="O314"/>
    </row>
    <row r="315" spans="1:15" s="63" customFormat="1" ht="12.75">
      <c r="A315" s="40">
        <v>9</v>
      </c>
      <c r="B315" s="155">
        <v>0</v>
      </c>
      <c r="C315" s="40"/>
      <c r="D315" s="41"/>
      <c r="E315" s="41"/>
      <c r="F315" s="41"/>
      <c r="G315" s="41"/>
      <c r="H315"/>
      <c r="I315"/>
      <c r="J315"/>
      <c r="K315"/>
      <c r="L315"/>
      <c r="M315"/>
      <c r="N315"/>
      <c r="O315"/>
    </row>
    <row r="316" spans="1:15" s="63" customFormat="1" ht="12.75">
      <c r="A316" s="40">
        <v>10</v>
      </c>
      <c r="B316" s="155">
        <v>1461</v>
      </c>
      <c r="C316" s="293">
        <f>B316</f>
        <v>1461</v>
      </c>
      <c r="D316" s="41"/>
      <c r="E316" s="41"/>
      <c r="F316" s="41"/>
      <c r="G316" s="41" t="s">
        <v>922</v>
      </c>
      <c r="H316"/>
      <c r="I316"/>
      <c r="J316"/>
      <c r="K316"/>
      <c r="L316"/>
      <c r="M316"/>
      <c r="N316"/>
      <c r="O316"/>
    </row>
    <row r="317" spans="1:15" s="63" customFormat="1" ht="12.75">
      <c r="A317" s="40">
        <v>11</v>
      </c>
      <c r="B317" s="155">
        <v>1626</v>
      </c>
      <c r="C317" s="293">
        <f>B317</f>
        <v>1626</v>
      </c>
      <c r="D317" s="41"/>
      <c r="E317" s="41"/>
      <c r="F317" s="41"/>
      <c r="G317" s="41" t="s">
        <v>923</v>
      </c>
      <c r="H317"/>
      <c r="I317"/>
      <c r="J317"/>
      <c r="K317"/>
      <c r="L317"/>
      <c r="M317"/>
      <c r="N317"/>
      <c r="O317"/>
    </row>
    <row r="318" spans="1:15" s="63" customFormat="1" ht="15" customHeight="1">
      <c r="A318" s="40">
        <v>12</v>
      </c>
      <c r="B318" s="155">
        <v>1531</v>
      </c>
      <c r="C318" s="293">
        <f>B318</f>
        <v>1531</v>
      </c>
      <c r="D318" s="41"/>
      <c r="E318" s="41"/>
      <c r="F318" s="41"/>
      <c r="G318" s="41" t="s">
        <v>924</v>
      </c>
      <c r="H318"/>
      <c r="I318"/>
      <c r="J318"/>
      <c r="K318"/>
      <c r="L318"/>
      <c r="M318"/>
      <c r="N318"/>
      <c r="O318"/>
    </row>
    <row r="319" spans="1:15" s="63" customFormat="1" ht="15" customHeight="1">
      <c r="A319" s="40">
        <v>13</v>
      </c>
      <c r="B319" s="155">
        <v>1697</v>
      </c>
      <c r="C319" s="293">
        <f>B319</f>
        <v>1697</v>
      </c>
      <c r="D319" s="41"/>
      <c r="E319" s="41"/>
      <c r="F319" s="41"/>
      <c r="G319" s="41" t="s">
        <v>925</v>
      </c>
      <c r="H319"/>
      <c r="I319"/>
      <c r="J319"/>
      <c r="K319"/>
      <c r="L319"/>
      <c r="M319"/>
      <c r="N319"/>
      <c r="O319"/>
    </row>
    <row r="320" spans="1:15" s="94" customFormat="1" ht="18.75" customHeight="1">
      <c r="A320" s="40"/>
      <c r="B320" s="155"/>
      <c r="C320" s="40"/>
      <c r="D320" s="41"/>
      <c r="E320" s="41"/>
      <c r="F320" s="41"/>
      <c r="G320" s="41"/>
      <c r="H320"/>
      <c r="I320"/>
      <c r="J320"/>
      <c r="K320"/>
      <c r="L320"/>
      <c r="M320"/>
      <c r="N320"/>
      <c r="O320"/>
    </row>
    <row r="321" spans="1:15" s="93" customFormat="1" ht="12.75">
      <c r="A321" s="40"/>
      <c r="B321" s="292"/>
      <c r="C321" s="208"/>
      <c r="D321" s="41"/>
      <c r="E321" s="41"/>
      <c r="F321" s="41"/>
      <c r="G321" s="41"/>
      <c r="H321"/>
      <c r="I321"/>
      <c r="J321"/>
      <c r="K321"/>
      <c r="L321"/>
      <c r="M321"/>
      <c r="N321"/>
      <c r="O321"/>
    </row>
    <row r="323" spans="1:3" ht="18">
      <c r="A323" s="117"/>
      <c r="B323" s="118" t="s">
        <v>244</v>
      </c>
      <c r="C323" s="119"/>
    </row>
    <row r="324" spans="1:3" ht="15.75">
      <c r="A324" s="120" t="s">
        <v>245</v>
      </c>
      <c r="B324" s="236" t="s">
        <v>246</v>
      </c>
      <c r="C324" s="120" t="s">
        <v>247</v>
      </c>
    </row>
    <row r="325" spans="1:3" ht="12.75">
      <c r="A325" s="121" t="s">
        <v>142</v>
      </c>
      <c r="B325" s="106">
        <v>190.26</v>
      </c>
      <c r="C325" s="237" t="s">
        <v>248</v>
      </c>
    </row>
    <row r="326" spans="1:3" ht="12.75">
      <c r="A326" s="121" t="s">
        <v>156</v>
      </c>
      <c r="B326" s="106">
        <v>347.38</v>
      </c>
      <c r="C326" s="237" t="s">
        <v>249</v>
      </c>
    </row>
    <row r="327" spans="1:3" ht="12.75">
      <c r="A327" s="121" t="s">
        <v>157</v>
      </c>
      <c r="B327" s="106">
        <v>190.26</v>
      </c>
      <c r="C327" s="237" t="s">
        <v>248</v>
      </c>
    </row>
    <row r="328" spans="1:3" ht="12.75">
      <c r="A328" s="121" t="s">
        <v>158</v>
      </c>
      <c r="B328" s="106">
        <v>124.11</v>
      </c>
      <c r="C328" s="237" t="s">
        <v>250</v>
      </c>
    </row>
    <row r="329" spans="1:3" ht="12.75">
      <c r="A329" s="121"/>
      <c r="B329" s="106"/>
      <c r="C329" s="122"/>
    </row>
    <row r="330" spans="1:3" ht="12.75">
      <c r="A330" s="121" t="s">
        <v>251</v>
      </c>
      <c r="B330" s="106" t="s">
        <v>252</v>
      </c>
      <c r="C330" s="122" t="s">
        <v>253</v>
      </c>
    </row>
    <row r="331" spans="1:3" ht="12.75">
      <c r="A331" s="121" t="s">
        <v>254</v>
      </c>
      <c r="B331" s="106" t="s">
        <v>252</v>
      </c>
      <c r="C331" s="122" t="s">
        <v>253</v>
      </c>
    </row>
    <row r="332" spans="1:3" ht="12.75">
      <c r="A332" s="290" t="s">
        <v>793</v>
      </c>
      <c r="B332" s="291">
        <v>116</v>
      </c>
      <c r="C332"/>
    </row>
    <row r="333" spans="1:3" ht="12.75">
      <c r="A333" t="s">
        <v>255</v>
      </c>
      <c r="B333"/>
      <c r="C333"/>
    </row>
    <row r="334" spans="1:3" ht="12.75">
      <c r="A334"/>
      <c r="B334"/>
      <c r="C334"/>
    </row>
    <row r="335" spans="1:3" ht="12.75">
      <c r="A335" t="s">
        <v>256</v>
      </c>
      <c r="B335"/>
      <c r="C335"/>
    </row>
    <row r="337" ht="12.75">
      <c r="A337" s="208" t="s">
        <v>413</v>
      </c>
    </row>
    <row r="338" spans="1:2" ht="12.75">
      <c r="A338" s="207">
        <v>42989</v>
      </c>
      <c r="B338" s="41" t="s">
        <v>412</v>
      </c>
    </row>
    <row r="339" spans="1:2" ht="12.75">
      <c r="A339" s="208" t="s">
        <v>422</v>
      </c>
      <c r="B339" s="207">
        <v>43126</v>
      </c>
    </row>
    <row r="340" ht="12.75">
      <c r="A340" s="41" t="s">
        <v>423</v>
      </c>
    </row>
    <row r="341" ht="12.75">
      <c r="A341" s="40" t="s">
        <v>424</v>
      </c>
    </row>
    <row r="342" ht="12.75">
      <c r="A342" s="40" t="s">
        <v>425</v>
      </c>
    </row>
    <row r="343" ht="12.75">
      <c r="A343" s="48" t="s">
        <v>427</v>
      </c>
    </row>
    <row r="344" ht="12.75">
      <c r="A344" s="40" t="s">
        <v>429</v>
      </c>
    </row>
    <row r="346" ht="12.75">
      <c r="A346" s="208" t="s">
        <v>597</v>
      </c>
    </row>
    <row r="347" ht="12.75">
      <c r="A347" s="41" t="s">
        <v>598</v>
      </c>
    </row>
    <row r="348" ht="12.75">
      <c r="A348" s="208" t="s">
        <v>602</v>
      </c>
    </row>
    <row r="349" ht="12.75">
      <c r="A349" s="41" t="s">
        <v>603</v>
      </c>
    </row>
    <row r="350" spans="1:2" ht="12.75">
      <c r="A350" s="208" t="s">
        <v>624</v>
      </c>
      <c r="B350" s="41" t="s">
        <v>625</v>
      </c>
    </row>
    <row r="352" ht="12.75">
      <c r="A352" s="208" t="s">
        <v>628</v>
      </c>
    </row>
    <row r="353" ht="12.75">
      <c r="A353" s="41" t="s">
        <v>629</v>
      </c>
    </row>
    <row r="354" ht="12.75">
      <c r="A354" s="40" t="s">
        <v>630</v>
      </c>
    </row>
    <row r="356" ht="12.75">
      <c r="A356" s="208" t="s">
        <v>652</v>
      </c>
    </row>
    <row r="357" ht="12.75">
      <c r="A357" s="40" t="s">
        <v>653</v>
      </c>
    </row>
    <row r="358" ht="12.75">
      <c r="A358" s="40" t="s">
        <v>654</v>
      </c>
    </row>
    <row r="360" ht="12.75">
      <c r="A360" s="208" t="s">
        <v>715</v>
      </c>
    </row>
    <row r="361" ht="12.75">
      <c r="A361" s="40" t="s">
        <v>716</v>
      </c>
    </row>
    <row r="362" ht="12.75">
      <c r="A362" s="40" t="s">
        <v>719</v>
      </c>
    </row>
    <row r="363" ht="12.75">
      <c r="A363" s="40" t="s">
        <v>720</v>
      </c>
    </row>
    <row r="364" ht="12.75">
      <c r="A364" s="40" t="s">
        <v>721</v>
      </c>
    </row>
    <row r="367" ht="12.75">
      <c r="A367" s="208" t="s">
        <v>722</v>
      </c>
    </row>
    <row r="368" ht="12.75">
      <c r="A368" s="40" t="s">
        <v>716</v>
      </c>
    </row>
    <row r="369" ht="12.75">
      <c r="A369" s="40" t="s">
        <v>719</v>
      </c>
    </row>
    <row r="370" ht="12.75">
      <c r="A370" s="40" t="s">
        <v>794</v>
      </c>
    </row>
    <row r="371" ht="12.75">
      <c r="A371" s="40" t="s">
        <v>795</v>
      </c>
    </row>
    <row r="373" ht="12.75">
      <c r="A373" s="208" t="s">
        <v>797</v>
      </c>
    </row>
    <row r="374" ht="12.75">
      <c r="A374" s="40" t="s">
        <v>716</v>
      </c>
    </row>
    <row r="375" ht="12.75">
      <c r="A375" s="40" t="s">
        <v>796</v>
      </c>
    </row>
    <row r="377" ht="12.75">
      <c r="A377" s="208" t="s">
        <v>916</v>
      </c>
    </row>
    <row r="378" ht="12.75">
      <c r="A378" s="40" t="s">
        <v>716</v>
      </c>
    </row>
    <row r="379" ht="12.75">
      <c r="A379" s="40" t="s">
        <v>917</v>
      </c>
    </row>
    <row r="380" ht="12.75">
      <c r="A380" s="40" t="s">
        <v>920</v>
      </c>
    </row>
    <row r="381" ht="12.75">
      <c r="A381" s="40" t="s">
        <v>921</v>
      </c>
    </row>
  </sheetData>
  <sheetProtection password="DF3F" sheet="1"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Majkl</dc:creator>
  <cp:keywords/>
  <dc:description/>
  <cp:lastModifiedBy>User</cp:lastModifiedBy>
  <cp:lastPrinted>2019-01-29T09:52:05Z</cp:lastPrinted>
  <dcterms:created xsi:type="dcterms:W3CDTF">2014-05-28T07:11:33Z</dcterms:created>
  <dcterms:modified xsi:type="dcterms:W3CDTF">2024-02-26T14:06:31Z</dcterms:modified>
  <cp:category/>
  <cp:version/>
  <cp:contentType/>
  <cp:contentStatus/>
</cp:coreProperties>
</file>